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2"/>
  </bookViews>
  <sheets>
    <sheet name="Главная" sheetId="12" r:id="rId1"/>
    <sheet name="ГСМ" sheetId="5" r:id="rId2"/>
    <sheet name="Автомобили" sheetId="4" r:id="rId3"/>
    <sheet name="Сотрудники" sheetId="2" r:id="rId4"/>
    <sheet name="Приход" sheetId="6" r:id="rId5"/>
    <sheet name="Расход" sheetId="7" r:id="rId6"/>
    <sheet name="Оборотка-Склад" sheetId="8" r:id="rId7"/>
    <sheet name="Ведомость_реестр" sheetId="9" r:id="rId8"/>
    <sheet name="Ведомость_печать_образец" sheetId="10" r:id="rId9"/>
    <sheet name="Ведомость_выдача" sheetId="11" r:id="rId10"/>
  </sheets>
  <definedNames>
    <definedName name="_xlnm.Print_Titles" localSheetId="8">Ведомость_печать_образец!$27:$30</definedName>
    <definedName name="_xlnm.Print_Area" localSheetId="9">Ведомость_выдача!$A$6:$H$55</definedName>
    <definedName name="_xlnm.Print_Area" localSheetId="8">Ведомость_печать_образец!$A$1:$AI$68</definedName>
  </definedNames>
  <calcPr calcId="145621"/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/>
  <c r="C17" i="5" l="1"/>
  <c r="C18" i="5"/>
  <c r="C19" i="5"/>
  <c r="C20" i="5"/>
  <c r="C13" i="5" l="1"/>
  <c r="C14" i="5"/>
  <c r="C16" i="8" s="1"/>
  <c r="C15" i="5"/>
  <c r="C17" i="8" s="1"/>
  <c r="C16" i="5"/>
  <c r="C18" i="8" s="1"/>
  <c r="E7" i="6"/>
  <c r="E8" i="6"/>
  <c r="E9" i="6"/>
  <c r="C5" i="5"/>
  <c r="C7" i="8" s="1"/>
  <c r="C6" i="5"/>
  <c r="C8" i="8" s="1"/>
  <c r="C7" i="5"/>
  <c r="C9" i="8" s="1"/>
  <c r="C8" i="5"/>
  <c r="C10" i="8" s="1"/>
  <c r="C9" i="5"/>
  <c r="C11" i="8" s="1"/>
  <c r="C10" i="5"/>
  <c r="C12" i="8" s="1"/>
  <c r="C11" i="5"/>
  <c r="C13" i="8" s="1"/>
  <c r="C12" i="5"/>
  <c r="C14" i="8" s="1"/>
  <c r="C4" i="5"/>
  <c r="C6" i="8" s="1"/>
  <c r="E4" i="6" l="1"/>
  <c r="E5" i="6"/>
  <c r="E6" i="6"/>
  <c r="C15" i="8"/>
  <c r="I34" i="11"/>
  <c r="I35" i="11"/>
  <c r="I36" i="11"/>
  <c r="I37" i="11"/>
  <c r="I38" i="11"/>
  <c r="I39" i="11"/>
  <c r="I40" i="11"/>
  <c r="I41" i="11"/>
  <c r="I42" i="11"/>
  <c r="I43" i="11"/>
  <c r="I44" i="11"/>
  <c r="I45" i="11"/>
  <c r="I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33" i="11"/>
  <c r="D8" i="7" l="1"/>
  <c r="U8" i="7" s="1"/>
  <c r="D9" i="7"/>
  <c r="U9" i="7" s="1"/>
  <c r="D10" i="7"/>
  <c r="U10" i="7" s="1"/>
  <c r="D11" i="7"/>
  <c r="D12" i="7"/>
  <c r="V12" i="7" s="1"/>
  <c r="D13" i="7"/>
  <c r="V13" i="7" s="1"/>
  <c r="D14" i="7"/>
  <c r="U14" i="7" s="1"/>
  <c r="D15" i="7"/>
  <c r="U15" i="7" s="1"/>
  <c r="D16" i="7"/>
  <c r="U16" i="7" s="1"/>
  <c r="F8" i="7"/>
  <c r="A37" i="11" s="1"/>
  <c r="F9" i="7"/>
  <c r="A38" i="11" s="1"/>
  <c r="F10" i="7"/>
  <c r="A39" i="11" s="1"/>
  <c r="F11" i="7"/>
  <c r="A40" i="11" s="1"/>
  <c r="F12" i="7"/>
  <c r="A41" i="11" s="1"/>
  <c r="F13" i="7"/>
  <c r="A42" i="11" s="1"/>
  <c r="F14" i="7"/>
  <c r="A43" i="11" s="1"/>
  <c r="F15" i="7"/>
  <c r="A44" i="11" s="1"/>
  <c r="F16" i="7"/>
  <c r="A45" i="11" s="1"/>
  <c r="G8" i="7"/>
  <c r="B37" i="11" s="1"/>
  <c r="G9" i="7"/>
  <c r="B38" i="11" s="1"/>
  <c r="G10" i="7"/>
  <c r="B39" i="11" s="1"/>
  <c r="G11" i="7"/>
  <c r="B40" i="11" s="1"/>
  <c r="G12" i="7"/>
  <c r="B41" i="11" s="1"/>
  <c r="G13" i="7"/>
  <c r="B42" i="11" s="1"/>
  <c r="G14" i="7"/>
  <c r="B43" i="11" s="1"/>
  <c r="G15" i="7"/>
  <c r="B44" i="11" s="1"/>
  <c r="G16" i="7"/>
  <c r="B45" i="11" s="1"/>
  <c r="J8" i="7"/>
  <c r="J9" i="7"/>
  <c r="J10" i="7"/>
  <c r="J11" i="7"/>
  <c r="J12" i="7"/>
  <c r="J13" i="7"/>
  <c r="J14" i="7"/>
  <c r="J15" i="7"/>
  <c r="J16" i="7"/>
  <c r="K8" i="7"/>
  <c r="K9" i="7"/>
  <c r="K10" i="7"/>
  <c r="K11" i="7"/>
  <c r="K12" i="7"/>
  <c r="K13" i="7"/>
  <c r="K14" i="7"/>
  <c r="K15" i="7"/>
  <c r="K16" i="7"/>
  <c r="L8" i="7"/>
  <c r="L9" i="7"/>
  <c r="L10" i="7"/>
  <c r="L11" i="7"/>
  <c r="L12" i="7"/>
  <c r="L13" i="7"/>
  <c r="L14" i="7"/>
  <c r="L15" i="7"/>
  <c r="L16" i="7"/>
  <c r="N8" i="7"/>
  <c r="N9" i="7"/>
  <c r="N10" i="7"/>
  <c r="N11" i="7"/>
  <c r="N12" i="7"/>
  <c r="N13" i="7"/>
  <c r="N14" i="7"/>
  <c r="N15" i="7"/>
  <c r="N16" i="7"/>
  <c r="O8" i="7"/>
  <c r="O9" i="7"/>
  <c r="O10" i="7"/>
  <c r="O11" i="7"/>
  <c r="O12" i="7"/>
  <c r="O13" i="7"/>
  <c r="O14" i="7"/>
  <c r="O15" i="7"/>
  <c r="O16" i="7"/>
  <c r="P8" i="7"/>
  <c r="P9" i="7"/>
  <c r="P10" i="7"/>
  <c r="P11" i="7"/>
  <c r="P12" i="7"/>
  <c r="P13" i="7"/>
  <c r="P14" i="7"/>
  <c r="P15" i="7"/>
  <c r="P16" i="7"/>
  <c r="S8" i="7"/>
  <c r="S9" i="7"/>
  <c r="S10" i="7"/>
  <c r="S11" i="7"/>
  <c r="S12" i="7"/>
  <c r="S13" i="7"/>
  <c r="S14" i="7"/>
  <c r="S15" i="7"/>
  <c r="S16" i="7"/>
  <c r="U11" i="7"/>
  <c r="V9" i="7"/>
  <c r="V11" i="7"/>
  <c r="V14" i="7"/>
  <c r="V15" i="7"/>
  <c r="I24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V10" i="7" l="1"/>
  <c r="V8" i="7"/>
  <c r="V16" i="7"/>
  <c r="U13" i="7"/>
  <c r="U12" i="7"/>
  <c r="C48" i="11"/>
  <c r="E16" i="11" l="1"/>
  <c r="G3" i="11" l="1"/>
  <c r="B29" i="11" s="1"/>
  <c r="F3" i="11"/>
  <c r="H26" i="11" s="1"/>
  <c r="E3" i="11"/>
  <c r="H23" i="11" s="1"/>
  <c r="D3" i="11"/>
  <c r="D18" i="11" l="1"/>
  <c r="E48" i="11"/>
  <c r="C3" i="11"/>
  <c r="D21" i="11" s="1"/>
  <c r="F46" i="11"/>
  <c r="A51" i="11" s="1"/>
  <c r="D5" i="7" l="1"/>
  <c r="D6" i="7"/>
  <c r="D7" i="7"/>
  <c r="D4" i="7"/>
  <c r="I5" i="9" l="1"/>
  <c r="I6" i="9"/>
  <c r="I7" i="9"/>
  <c r="I4" i="9"/>
  <c r="H3" i="11" l="1"/>
  <c r="H29" i="11" s="1"/>
  <c r="K4" i="7"/>
  <c r="D25" i="9"/>
  <c r="S5" i="7" l="1"/>
  <c r="S6" i="7"/>
  <c r="S7" i="7"/>
  <c r="N6" i="7"/>
  <c r="O6" i="7"/>
  <c r="P6" i="7"/>
  <c r="N7" i="7"/>
  <c r="O7" i="7"/>
  <c r="P7" i="7"/>
  <c r="J5" i="7"/>
  <c r="K5" i="7"/>
  <c r="L5" i="7"/>
  <c r="J6" i="7"/>
  <c r="K6" i="7"/>
  <c r="L6" i="7"/>
  <c r="J7" i="7"/>
  <c r="K7" i="7"/>
  <c r="L7" i="7"/>
  <c r="F7" i="7"/>
  <c r="A36" i="11" s="1"/>
  <c r="G7" i="7"/>
  <c r="B36" i="11" s="1"/>
  <c r="U7" i="7"/>
  <c r="V7" i="7"/>
  <c r="F7" i="6" l="1"/>
  <c r="F8" i="6"/>
  <c r="F9" i="6"/>
  <c r="G7" i="6"/>
  <c r="G8" i="6"/>
  <c r="G9" i="6"/>
  <c r="J7" i="6"/>
  <c r="J8" i="6"/>
  <c r="J9" i="6"/>
  <c r="L7" i="6"/>
  <c r="L8" i="6"/>
  <c r="L9" i="6"/>
  <c r="M7" i="6"/>
  <c r="M8" i="6"/>
  <c r="M9" i="6"/>
  <c r="U5" i="7" l="1"/>
  <c r="V5" i="7"/>
  <c r="U6" i="7"/>
  <c r="V6" i="7"/>
  <c r="V4" i="7"/>
  <c r="U4" i="7"/>
  <c r="S4" i="7"/>
  <c r="L4" i="7"/>
  <c r="F7" i="2"/>
  <c r="J4" i="7"/>
  <c r="F4" i="7"/>
  <c r="A33" i="11" s="1"/>
  <c r="G5" i="7"/>
  <c r="B34" i="11" s="1"/>
  <c r="G6" i="7"/>
  <c r="B35" i="11" s="1"/>
  <c r="G4" i="7"/>
  <c r="B33" i="11" s="1"/>
  <c r="F5" i="7"/>
  <c r="A34" i="11" s="1"/>
  <c r="F6" i="7"/>
  <c r="A35" i="11" s="1"/>
  <c r="E6" i="4"/>
  <c r="E7" i="4"/>
  <c r="E5" i="4"/>
  <c r="E4" i="4"/>
  <c r="L5" i="6"/>
  <c r="M5" i="6"/>
  <c r="L6" i="6"/>
  <c r="M6" i="6"/>
  <c r="M4" i="6"/>
  <c r="L4" i="6"/>
  <c r="J5" i="6" l="1"/>
  <c r="J6" i="6"/>
  <c r="J4" i="6"/>
  <c r="F5" i="2" l="1"/>
  <c r="F6" i="2"/>
  <c r="F4" i="2"/>
  <c r="S17" i="7" l="1"/>
  <c r="Q17" i="7"/>
  <c r="M17" i="7"/>
  <c r="D10" i="6"/>
  <c r="H10" i="6"/>
  <c r="J10" i="6"/>
  <c r="D14" i="4" l="1"/>
  <c r="E8" i="2"/>
  <c r="G6" i="8" l="1"/>
  <c r="E6" i="8"/>
  <c r="F6" i="8"/>
  <c r="D6" i="8"/>
  <c r="I6" i="8" l="1"/>
  <c r="H6" i="8"/>
  <c r="D8" i="8"/>
  <c r="G7" i="8" l="1"/>
  <c r="F7" i="8"/>
  <c r="E7" i="8"/>
  <c r="D7" i="8"/>
  <c r="G8" i="8"/>
  <c r="E8" i="8"/>
  <c r="F8" i="8"/>
  <c r="H8" i="8" s="1"/>
  <c r="I8" i="8" l="1"/>
  <c r="I7" i="8"/>
  <c r="H7" i="8"/>
  <c r="G9" i="8"/>
  <c r="D9" i="8" l="1"/>
  <c r="F9" i="8"/>
  <c r="E9" i="8"/>
  <c r="I9" i="8" l="1"/>
  <c r="H9" i="8"/>
  <c r="F11" i="8"/>
  <c r="F12" i="8"/>
  <c r="E10" i="8"/>
  <c r="E11" i="8" l="1"/>
  <c r="F10" i="8"/>
  <c r="D10" i="8"/>
  <c r="G12" i="8"/>
  <c r="D11" i="8"/>
  <c r="H11" i="8" s="1"/>
  <c r="G11" i="8"/>
  <c r="G10" i="8"/>
  <c r="I10" i="8" s="1"/>
  <c r="D12" i="8"/>
  <c r="H12" i="8" s="1"/>
  <c r="E12" i="8"/>
  <c r="I12" i="8" s="1"/>
  <c r="I11" i="8" l="1"/>
  <c r="H10" i="8"/>
  <c r="D13" i="8"/>
  <c r="F13" i="8" l="1"/>
  <c r="H13" i="8" s="1"/>
  <c r="E13" i="8"/>
  <c r="G13" i="8"/>
  <c r="I13" i="8" l="1"/>
  <c r="E14" i="8"/>
  <c r="G14" i="8" l="1"/>
  <c r="D14" i="8"/>
  <c r="F14" i="8"/>
  <c r="H14" i="8" l="1"/>
  <c r="I14" i="8"/>
  <c r="O4" i="7" l="1"/>
  <c r="F4" i="6"/>
  <c r="F6" i="6"/>
  <c r="P4" i="7"/>
  <c r="O5" i="7"/>
  <c r="G6" i="6"/>
  <c r="G4" i="6"/>
  <c r="P5" i="7"/>
  <c r="N5" i="7"/>
  <c r="N4" i="7"/>
  <c r="I16" i="8"/>
  <c r="H16" i="8"/>
  <c r="G16" i="8"/>
  <c r="D18" i="8"/>
  <c r="I17" i="8"/>
  <c r="G5" i="6"/>
  <c r="F5" i="6"/>
  <c r="F15" i="8" l="1"/>
  <c r="F18" i="8"/>
  <c r="G18" i="8"/>
  <c r="H18" i="8"/>
  <c r="E18" i="8"/>
  <c r="I18" i="8"/>
  <c r="E17" i="8"/>
  <c r="F16" i="8"/>
  <c r="H17" i="8"/>
  <c r="D16" i="8"/>
  <c r="G17" i="8"/>
  <c r="G15" i="8"/>
  <c r="E15" i="8"/>
  <c r="E16" i="8"/>
  <c r="D15" i="8"/>
  <c r="H15" i="8" s="1"/>
  <c r="H19" i="8" s="1"/>
  <c r="D17" i="8"/>
  <c r="F17" i="8"/>
  <c r="F19" i="8" s="1"/>
  <c r="I15" i="8" l="1"/>
  <c r="I19" i="8" s="1"/>
  <c r="G19" i="8"/>
  <c r="D19" i="8"/>
  <c r="E19" i="8"/>
</calcChain>
</file>

<file path=xl/comments1.xml><?xml version="1.0" encoding="utf-8"?>
<comments xmlns="http://schemas.openxmlformats.org/spreadsheetml/2006/main">
  <authors>
    <author>Автор</author>
  </authors>
  <commentList>
    <comment ref="I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фильтре выберите номер, соответствующий номеру ведомости</t>
        </r>
      </text>
    </comment>
  </commentList>
</comments>
</file>

<file path=xl/sharedStrings.xml><?xml version="1.0" encoding="utf-8"?>
<sst xmlns="http://schemas.openxmlformats.org/spreadsheetml/2006/main" count="215" uniqueCount="119">
  <si>
    <t>Табельный номер</t>
  </si>
  <si>
    <t>Должность</t>
  </si>
  <si>
    <t>Автомобиль</t>
  </si>
  <si>
    <t>Модель</t>
  </si>
  <si>
    <t>Номер</t>
  </si>
  <si>
    <t>ГСМ</t>
  </si>
  <si>
    <t>Наименование</t>
  </si>
  <si>
    <t>Марка</t>
  </si>
  <si>
    <t>Дата</t>
  </si>
  <si>
    <t>Номер путевого листа</t>
  </si>
  <si>
    <t>Кол-во</t>
  </si>
  <si>
    <t>Ед.изм.</t>
  </si>
  <si>
    <t>Номер ведомости</t>
  </si>
  <si>
    <t>Ф.И.О.</t>
  </si>
  <si>
    <t>Итог</t>
  </si>
  <si>
    <t>Иванов С.Н.</t>
  </si>
  <si>
    <t>0115</t>
  </si>
  <si>
    <t>Водитель</t>
  </si>
  <si>
    <t>Петров А.Ф.</t>
  </si>
  <si>
    <t>Мастер</t>
  </si>
  <si>
    <t>А145ВС 47</t>
  </si>
  <si>
    <t>Волга 31105</t>
  </si>
  <si>
    <t>Р442ММ 98</t>
  </si>
  <si>
    <t>Бензин</t>
  </si>
  <si>
    <t>АИ-76-К3</t>
  </si>
  <si>
    <t>АИ-92-К5</t>
  </si>
  <si>
    <t>АИ-95-К5</t>
  </si>
  <si>
    <t>Дизельное топливо</t>
  </si>
  <si>
    <t>ДТ-А-К5</t>
  </si>
  <si>
    <t>ДТ-Е-К5</t>
  </si>
  <si>
    <t>ДТ-З-К5</t>
  </si>
  <si>
    <t>ДТ-Л-К5</t>
  </si>
  <si>
    <t>л</t>
  </si>
  <si>
    <t>Обозначение</t>
  </si>
  <si>
    <t>Описание</t>
  </si>
  <si>
    <t>Камаз 4308</t>
  </si>
  <si>
    <t>А332ТТ 147</t>
  </si>
  <si>
    <t>Масло моторное</t>
  </si>
  <si>
    <t>Цена</t>
  </si>
  <si>
    <t>Сумма</t>
  </si>
  <si>
    <t>Сотрудник</t>
  </si>
  <si>
    <t>TEBOIL Super HPD 5W-40, канистра 4л</t>
  </si>
  <si>
    <t>TEBOIL Super HPD 5W-40, канистра 1л</t>
  </si>
  <si>
    <t>Сидоров М.И.</t>
  </si>
  <si>
    <t>4573</t>
  </si>
  <si>
    <t>Кол-во приход</t>
  </si>
  <si>
    <t>Сумма приход</t>
  </si>
  <si>
    <t>Кол-во расход</t>
  </si>
  <si>
    <t>Сумма расход</t>
  </si>
  <si>
    <t>Кол-во остаток</t>
  </si>
  <si>
    <t>Сумма остаток</t>
  </si>
  <si>
    <t>С</t>
  </si>
  <si>
    <t>По</t>
  </si>
  <si>
    <t>Выбираемый период:</t>
  </si>
  <si>
    <t>с</t>
  </si>
  <si>
    <t>по</t>
  </si>
  <si>
    <t>Бензин АИ-76-К3, л</t>
  </si>
  <si>
    <t>Поступило в цистерне объемом 10000л</t>
  </si>
  <si>
    <t>Волга 31105, Р442ММ 98</t>
  </si>
  <si>
    <t>Петров А.Ф., 4573</t>
  </si>
  <si>
    <t>Масло моторное TEBOIL Super HPD 5W-40, канистра 1л, л</t>
  </si>
  <si>
    <t>Поступило в канситрах каждая объемом 1 литр</t>
  </si>
  <si>
    <t>001</t>
  </si>
  <si>
    <t>ПЛ015</t>
  </si>
  <si>
    <t>ПЛ016</t>
  </si>
  <si>
    <t>Волга С40</t>
  </si>
  <si>
    <t>Р221РВ 178</t>
  </si>
  <si>
    <t>Волга С40, Р221РВ 178</t>
  </si>
  <si>
    <t>Иванов С.Н., 0115</t>
  </si>
  <si>
    <t>Код вида</t>
  </si>
  <si>
    <t>Код марки</t>
  </si>
  <si>
    <t>04</t>
  </si>
  <si>
    <t>01</t>
  </si>
  <si>
    <t>3212</t>
  </si>
  <si>
    <t>Ответственный</t>
  </si>
  <si>
    <t>Таб.номер</t>
  </si>
  <si>
    <t>расходования горюче-смазочных</t>
  </si>
  <si>
    <t>Приложение 1</t>
  </si>
  <si>
    <t>к Положению о порядке учета</t>
  </si>
  <si>
    <t>поступления, хранения и</t>
  </si>
  <si>
    <t>15.05.2002 № 74</t>
  </si>
  <si>
    <t>(наименование организации)</t>
  </si>
  <si>
    <t>ВЕДОМОСТЬ</t>
  </si>
  <si>
    <t>№</t>
  </si>
  <si>
    <t>(наименование и марка ГСМ)</t>
  </si>
  <si>
    <t>УЧЕТА ВЫДАЧИ</t>
  </si>
  <si>
    <t>Код вида выдачи</t>
  </si>
  <si>
    <t>Материально ответственное</t>
  </si>
  <si>
    <t>лицо</t>
  </si>
  <si>
    <t>(фамилия, имя, отчество)</t>
  </si>
  <si>
    <t>цифрами</t>
  </si>
  <si>
    <t>прописью</t>
  </si>
  <si>
    <t>Табель-ный номер</t>
  </si>
  <si>
    <t>Фамилия, имя, отчество</t>
  </si>
  <si>
    <t>Выдано</t>
  </si>
  <si>
    <t>Расписка в получении</t>
  </si>
  <si>
    <t>Всего по ведомости №</t>
  </si>
  <si>
    <t>выдано</t>
  </si>
  <si>
    <t>(наименование ГСМ)</t>
  </si>
  <si>
    <t>и количество прописью)</t>
  </si>
  <si>
    <t>Выдачу произвел</t>
  </si>
  <si>
    <t>Проверил</t>
  </si>
  <si>
    <t>(подпись)</t>
  </si>
  <si>
    <t>Выдано цифрами</t>
  </si>
  <si>
    <t>Выдано прописью</t>
  </si>
  <si>
    <t>Автомобиль модель</t>
  </si>
  <si>
    <t>Автомобиль номер</t>
  </si>
  <si>
    <t>Выберите в ячейке желтого цвета номер ведомости:</t>
  </si>
  <si>
    <t>ВЕДОМОСТЬ №</t>
  </si>
  <si>
    <t>ООО "АВТОСНАБЖЕНИЕ"</t>
  </si>
  <si>
    <t>материалов</t>
  </si>
  <si>
    <t>(наименование ГСМ</t>
  </si>
  <si>
    <t>002</t>
  </si>
  <si>
    <t>Бензин АИ-92-К5, л</t>
  </si>
  <si>
    <t>02</t>
  </si>
  <si>
    <t>Поступил в цистерне объемом 2500л</t>
  </si>
  <si>
    <t>Смазка</t>
  </si>
  <si>
    <t>ссс</t>
  </si>
  <si>
    <t>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</si>
</sst>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[$-F800]dddd\,\ mmmm\ dd\,\ yyyy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scheme val="minor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4" fontId="1" fillId="0" borderId="8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49" fontId="1" fillId="0" borderId="7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4" fontId="3" fillId="2" borderId="10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14" fontId="10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49" fontId="11" fillId="2" borderId="10" xfId="0" applyNumberFormat="1" applyFont="1" applyFill="1" applyBorder="1" applyAlignment="1">
      <alignment horizontal="center" vertical="center"/>
    </xf>
    <xf numFmtId="14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9" fontId="11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49" fontId="11" fillId="0" borderId="12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165" fontId="15" fillId="0" borderId="12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0" fillId="3" borderId="0" xfId="0" applyFill="1"/>
    <xf numFmtId="0" fontId="1" fillId="3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1" xfId="0" applyBorder="1" applyAlignment="1">
      <alignment vertical="center"/>
    </xf>
    <xf numFmtId="165" fontId="8" fillId="0" borderId="12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49" fontId="11" fillId="0" borderId="12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5" fillId="0" borderId="12" xfId="0" applyFont="1" applyBorder="1" applyAlignment="1">
      <alignment horizontal="left" vertical="center"/>
    </xf>
  </cellXfs>
  <cellStyles count="1">
    <cellStyle name="Обычный" xfId="0" builtinId="0"/>
  </cellStyles>
  <dxfs count="1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₽&quot;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₽&quot;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₽&quot;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1040;&#1074;&#1090;&#1086;&#1084;&#1086;&#1073;&#1080;&#1083;&#1080;!C4"/><Relationship Id="rId3" Type="http://schemas.openxmlformats.org/officeDocument/2006/relationships/hyperlink" Target="#&#1043;&#1057;&#1052;!C4"/><Relationship Id="rId7" Type="http://schemas.openxmlformats.org/officeDocument/2006/relationships/hyperlink" Target="#'&#1054;&#1073;&#1086;&#1088;&#1086;&#1090;&#1082;&#1072;-&#1057;&#1082;&#1083;&#1072;&#1076;'!C6"/><Relationship Id="rId2" Type="http://schemas.openxmlformats.org/officeDocument/2006/relationships/hyperlink" Target="https://www.fda-studia.ru/katalog/programmy-dlya-skachivaniya-v-excel-i-access" TargetMode="External"/><Relationship Id="rId1" Type="http://schemas.openxmlformats.org/officeDocument/2006/relationships/image" Target="../media/image1.jpeg"/><Relationship Id="rId6" Type="http://schemas.openxmlformats.org/officeDocument/2006/relationships/hyperlink" Target="#&#1056;&#1072;&#1089;&#1093;&#1086;&#1076;!C4"/><Relationship Id="rId5" Type="http://schemas.openxmlformats.org/officeDocument/2006/relationships/hyperlink" Target="#&#1055;&#1088;&#1080;&#1093;&#1086;&#1076;!C4"/><Relationship Id="rId4" Type="http://schemas.openxmlformats.org/officeDocument/2006/relationships/hyperlink" Target="#&#1057;&#1086;&#1090;&#1088;&#1091;&#1076;&#1085;&#1080;&#1082;&#1080;!C4"/><Relationship Id="rId9" Type="http://schemas.openxmlformats.org/officeDocument/2006/relationships/hyperlink" Target="#&#1042;&#1077;&#1076;&#1086;&#1084;&#1086;&#1089;&#1090;&#1100;_&#1088;&#1077;&#1077;&#1089;&#1090;&#1088;!C6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&#1042;&#1077;&#1076;&#1086;&#1084;&#1086;&#1089;&#1090;&#1100;_&#1088;&#1077;&#1077;&#1089;&#1090;&#1088;!C6"/><Relationship Id="rId3" Type="http://schemas.openxmlformats.org/officeDocument/2006/relationships/hyperlink" Target="#&#1057;&#1086;&#1090;&#1088;&#1091;&#1076;&#1085;&#1080;&#1082;&#1080;!C4"/><Relationship Id="rId7" Type="http://schemas.openxmlformats.org/officeDocument/2006/relationships/hyperlink" Target="#'&#1054;&#1073;&#1086;&#1088;&#1086;&#1090;&#1082;&#1072;-&#1057;&#1082;&#1083;&#1072;&#1076;'!C6"/><Relationship Id="rId2" Type="http://schemas.openxmlformats.org/officeDocument/2006/relationships/hyperlink" Target="#&#1043;&#1057;&#1052;!C4"/><Relationship Id="rId1" Type="http://schemas.openxmlformats.org/officeDocument/2006/relationships/image" Target="../media/image2.png"/><Relationship Id="rId6" Type="http://schemas.openxmlformats.org/officeDocument/2006/relationships/hyperlink" Target="#&#1056;&#1072;&#1089;&#1093;&#1086;&#1076;!C4"/><Relationship Id="rId5" Type="http://schemas.openxmlformats.org/officeDocument/2006/relationships/hyperlink" Target="#&#1055;&#1088;&#1080;&#1093;&#1086;&#1076;!C4"/><Relationship Id="rId4" Type="http://schemas.openxmlformats.org/officeDocument/2006/relationships/hyperlink" Target="#&#1040;&#1074;&#1090;&#1086;&#1084;&#1086;&#1073;&#1080;&#1083;&#1080;!C4"/><Relationship Id="rId9" Type="http://schemas.openxmlformats.org/officeDocument/2006/relationships/hyperlink" Target="#&#1043;&#1083;&#1072;&#1074;&#1085;&#1072;&#1103;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&#1042;&#1077;&#1076;&#1086;&#1084;&#1086;&#1089;&#1090;&#1100;_&#1088;&#1077;&#1077;&#1089;&#1090;&#1088;!C6"/><Relationship Id="rId3" Type="http://schemas.openxmlformats.org/officeDocument/2006/relationships/hyperlink" Target="#&#1057;&#1086;&#1090;&#1088;&#1091;&#1076;&#1085;&#1080;&#1082;&#1080;!C4"/><Relationship Id="rId7" Type="http://schemas.openxmlformats.org/officeDocument/2006/relationships/hyperlink" Target="#'&#1054;&#1073;&#1086;&#1088;&#1086;&#1090;&#1082;&#1072;-&#1057;&#1082;&#1083;&#1072;&#1076;'!C6"/><Relationship Id="rId2" Type="http://schemas.openxmlformats.org/officeDocument/2006/relationships/hyperlink" Target="#&#1043;&#1057;&#1052;!C4"/><Relationship Id="rId1" Type="http://schemas.openxmlformats.org/officeDocument/2006/relationships/image" Target="../media/image2.png"/><Relationship Id="rId6" Type="http://schemas.openxmlformats.org/officeDocument/2006/relationships/hyperlink" Target="#&#1056;&#1072;&#1089;&#1093;&#1086;&#1076;!C4"/><Relationship Id="rId5" Type="http://schemas.openxmlformats.org/officeDocument/2006/relationships/hyperlink" Target="#&#1055;&#1088;&#1080;&#1093;&#1086;&#1076;!C4"/><Relationship Id="rId4" Type="http://schemas.openxmlformats.org/officeDocument/2006/relationships/hyperlink" Target="#&#1040;&#1074;&#1090;&#1086;&#1084;&#1086;&#1073;&#1080;&#1083;&#1080;!C4"/><Relationship Id="rId9" Type="http://schemas.openxmlformats.org/officeDocument/2006/relationships/hyperlink" Target="#&#1043;&#1083;&#1072;&#1074;&#1085;&#1072;&#1103;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&#1042;&#1077;&#1076;&#1086;&#1084;&#1086;&#1089;&#1090;&#1100;_&#1088;&#1077;&#1077;&#1089;&#1090;&#1088;!C6"/><Relationship Id="rId3" Type="http://schemas.openxmlformats.org/officeDocument/2006/relationships/hyperlink" Target="#&#1057;&#1086;&#1090;&#1088;&#1091;&#1076;&#1085;&#1080;&#1082;&#1080;!C4"/><Relationship Id="rId7" Type="http://schemas.openxmlformats.org/officeDocument/2006/relationships/hyperlink" Target="#'&#1054;&#1073;&#1086;&#1088;&#1086;&#1090;&#1082;&#1072;-&#1057;&#1082;&#1083;&#1072;&#1076;'!C6"/><Relationship Id="rId2" Type="http://schemas.openxmlformats.org/officeDocument/2006/relationships/hyperlink" Target="#&#1043;&#1057;&#1052;!C4"/><Relationship Id="rId1" Type="http://schemas.openxmlformats.org/officeDocument/2006/relationships/image" Target="../media/image2.png"/><Relationship Id="rId6" Type="http://schemas.openxmlformats.org/officeDocument/2006/relationships/hyperlink" Target="#&#1056;&#1072;&#1089;&#1093;&#1086;&#1076;!C4"/><Relationship Id="rId5" Type="http://schemas.openxmlformats.org/officeDocument/2006/relationships/hyperlink" Target="#&#1055;&#1088;&#1080;&#1093;&#1086;&#1076;!C4"/><Relationship Id="rId4" Type="http://schemas.openxmlformats.org/officeDocument/2006/relationships/hyperlink" Target="#&#1040;&#1074;&#1090;&#1086;&#1084;&#1086;&#1073;&#1080;&#1083;&#1080;!C4"/><Relationship Id="rId9" Type="http://schemas.openxmlformats.org/officeDocument/2006/relationships/hyperlink" Target="#&#1043;&#1083;&#1072;&#1074;&#1085;&#1072;&#1103;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&#1042;&#1077;&#1076;&#1086;&#1084;&#1086;&#1089;&#1090;&#1100;_&#1088;&#1077;&#1077;&#1089;&#1090;&#1088;!C6"/><Relationship Id="rId3" Type="http://schemas.openxmlformats.org/officeDocument/2006/relationships/hyperlink" Target="#&#1057;&#1086;&#1090;&#1088;&#1091;&#1076;&#1085;&#1080;&#1082;&#1080;!C4"/><Relationship Id="rId7" Type="http://schemas.openxmlformats.org/officeDocument/2006/relationships/hyperlink" Target="#'&#1054;&#1073;&#1086;&#1088;&#1086;&#1090;&#1082;&#1072;-&#1057;&#1082;&#1083;&#1072;&#1076;'!C6"/><Relationship Id="rId2" Type="http://schemas.openxmlformats.org/officeDocument/2006/relationships/hyperlink" Target="#&#1043;&#1057;&#1052;!C4"/><Relationship Id="rId1" Type="http://schemas.openxmlformats.org/officeDocument/2006/relationships/image" Target="../media/image2.png"/><Relationship Id="rId6" Type="http://schemas.openxmlformats.org/officeDocument/2006/relationships/hyperlink" Target="#&#1056;&#1072;&#1089;&#1093;&#1086;&#1076;!C4"/><Relationship Id="rId5" Type="http://schemas.openxmlformats.org/officeDocument/2006/relationships/hyperlink" Target="#&#1055;&#1088;&#1080;&#1093;&#1086;&#1076;!C4"/><Relationship Id="rId4" Type="http://schemas.openxmlformats.org/officeDocument/2006/relationships/hyperlink" Target="#&#1040;&#1074;&#1090;&#1086;&#1084;&#1086;&#1073;&#1080;&#1083;&#1080;!C4"/><Relationship Id="rId9" Type="http://schemas.openxmlformats.org/officeDocument/2006/relationships/hyperlink" Target="#&#1043;&#1083;&#1072;&#1074;&#1085;&#1072;&#1103;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&#1042;&#1077;&#1076;&#1086;&#1084;&#1086;&#1089;&#1090;&#1100;_&#1088;&#1077;&#1077;&#1089;&#1090;&#1088;!C6"/><Relationship Id="rId3" Type="http://schemas.openxmlformats.org/officeDocument/2006/relationships/hyperlink" Target="#&#1057;&#1086;&#1090;&#1088;&#1091;&#1076;&#1085;&#1080;&#1082;&#1080;!C4"/><Relationship Id="rId7" Type="http://schemas.openxmlformats.org/officeDocument/2006/relationships/hyperlink" Target="#'&#1054;&#1073;&#1086;&#1088;&#1086;&#1090;&#1082;&#1072;-&#1057;&#1082;&#1083;&#1072;&#1076;'!C6"/><Relationship Id="rId2" Type="http://schemas.openxmlformats.org/officeDocument/2006/relationships/hyperlink" Target="#&#1043;&#1057;&#1052;!C4"/><Relationship Id="rId1" Type="http://schemas.openxmlformats.org/officeDocument/2006/relationships/image" Target="../media/image2.png"/><Relationship Id="rId6" Type="http://schemas.openxmlformats.org/officeDocument/2006/relationships/hyperlink" Target="#&#1056;&#1072;&#1089;&#1093;&#1086;&#1076;!C4"/><Relationship Id="rId5" Type="http://schemas.openxmlformats.org/officeDocument/2006/relationships/hyperlink" Target="#&#1055;&#1088;&#1080;&#1093;&#1086;&#1076;!C4"/><Relationship Id="rId4" Type="http://schemas.openxmlformats.org/officeDocument/2006/relationships/hyperlink" Target="#&#1040;&#1074;&#1090;&#1086;&#1084;&#1086;&#1073;&#1080;&#1083;&#1080;!C4"/><Relationship Id="rId9" Type="http://schemas.openxmlformats.org/officeDocument/2006/relationships/hyperlink" Target="#&#1043;&#1083;&#1072;&#1074;&#1085;&#1072;&#1103;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&#1042;&#1077;&#1076;&#1086;&#1084;&#1086;&#1089;&#1090;&#1100;_&#1088;&#1077;&#1077;&#1089;&#1090;&#1088;!C6"/><Relationship Id="rId3" Type="http://schemas.openxmlformats.org/officeDocument/2006/relationships/hyperlink" Target="#&#1057;&#1086;&#1090;&#1088;&#1091;&#1076;&#1085;&#1080;&#1082;&#1080;!C4"/><Relationship Id="rId7" Type="http://schemas.openxmlformats.org/officeDocument/2006/relationships/hyperlink" Target="#'&#1054;&#1073;&#1086;&#1088;&#1086;&#1090;&#1082;&#1072;-&#1057;&#1082;&#1083;&#1072;&#1076;'!C6"/><Relationship Id="rId2" Type="http://schemas.openxmlformats.org/officeDocument/2006/relationships/hyperlink" Target="#&#1043;&#1057;&#1052;!C4"/><Relationship Id="rId1" Type="http://schemas.openxmlformats.org/officeDocument/2006/relationships/image" Target="../media/image2.png"/><Relationship Id="rId6" Type="http://schemas.openxmlformats.org/officeDocument/2006/relationships/hyperlink" Target="#&#1056;&#1072;&#1089;&#1093;&#1086;&#1076;!C4"/><Relationship Id="rId5" Type="http://schemas.openxmlformats.org/officeDocument/2006/relationships/hyperlink" Target="#&#1055;&#1088;&#1080;&#1093;&#1086;&#1076;!C4"/><Relationship Id="rId4" Type="http://schemas.openxmlformats.org/officeDocument/2006/relationships/hyperlink" Target="#&#1040;&#1074;&#1090;&#1086;&#1084;&#1086;&#1073;&#1080;&#1083;&#1080;!C4"/><Relationship Id="rId9" Type="http://schemas.openxmlformats.org/officeDocument/2006/relationships/hyperlink" Target="#&#1043;&#1083;&#1072;&#1074;&#1085;&#1072;&#1103;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&#1042;&#1077;&#1076;&#1086;&#1084;&#1086;&#1089;&#1090;&#1100;_&#1088;&#1077;&#1077;&#1089;&#1090;&#1088;!C6"/><Relationship Id="rId3" Type="http://schemas.openxmlformats.org/officeDocument/2006/relationships/hyperlink" Target="#&#1057;&#1086;&#1090;&#1088;&#1091;&#1076;&#1085;&#1080;&#1082;&#1080;!C4"/><Relationship Id="rId7" Type="http://schemas.openxmlformats.org/officeDocument/2006/relationships/hyperlink" Target="#'&#1054;&#1073;&#1086;&#1088;&#1086;&#1090;&#1082;&#1072;-&#1057;&#1082;&#1083;&#1072;&#1076;'!C6"/><Relationship Id="rId2" Type="http://schemas.openxmlformats.org/officeDocument/2006/relationships/hyperlink" Target="#&#1043;&#1057;&#1052;!C4"/><Relationship Id="rId1" Type="http://schemas.openxmlformats.org/officeDocument/2006/relationships/image" Target="../media/image2.png"/><Relationship Id="rId6" Type="http://schemas.openxmlformats.org/officeDocument/2006/relationships/hyperlink" Target="#&#1056;&#1072;&#1089;&#1093;&#1086;&#1076;!C4"/><Relationship Id="rId5" Type="http://schemas.openxmlformats.org/officeDocument/2006/relationships/hyperlink" Target="#&#1055;&#1088;&#1080;&#1093;&#1086;&#1076;!C4"/><Relationship Id="rId10" Type="http://schemas.openxmlformats.org/officeDocument/2006/relationships/hyperlink" Target="#&#1042;&#1077;&#1076;&#1086;&#1084;&#1086;&#1089;&#1090;&#1100;_&#1074;&#1099;&#1076;&#1072;&#1095;&#1072;!B3"/><Relationship Id="rId4" Type="http://schemas.openxmlformats.org/officeDocument/2006/relationships/hyperlink" Target="#&#1040;&#1074;&#1090;&#1086;&#1084;&#1086;&#1073;&#1080;&#1083;&#1080;!C4"/><Relationship Id="rId9" Type="http://schemas.openxmlformats.org/officeDocument/2006/relationships/hyperlink" Target="#&#1043;&#1083;&#1072;&#1074;&#1085;&#1072;&#1103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1042;&#1077;&#1076;&#1086;&#1084;&#1086;&#1089;&#1090;&#1100;_&#1088;&#1077;&#1077;&#1089;&#1090;&#1088;!C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91440</xdr:rowOff>
    </xdr:from>
    <xdr:to>
      <xdr:col>10</xdr:col>
      <xdr:colOff>137160</xdr:colOff>
      <xdr:row>23</xdr:row>
      <xdr:rowOff>132627</xdr:rowOff>
    </xdr:to>
    <xdr:pic>
      <xdr:nvPicPr>
        <xdr:cNvPr id="25" name="Рисунок 24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42" r="19697"/>
        <a:stretch/>
      </xdr:blipFill>
      <xdr:spPr>
        <a:xfrm>
          <a:off x="91440" y="91440"/>
          <a:ext cx="6141720" cy="4247427"/>
        </a:xfrm>
        <a:prstGeom prst="rect">
          <a:avLst/>
        </a:prstGeom>
        <a:effectLst>
          <a:glow rad="127000">
            <a:schemeClr val="accent1">
              <a:alpha val="0"/>
            </a:schemeClr>
          </a:glow>
          <a:reflection endPos="0" dist="50800" dir="5400000" sy="-100000" algn="bl" rotWithShape="0"/>
        </a:effectLst>
      </xdr:spPr>
    </xdr:pic>
    <xdr:clientData/>
  </xdr:twoCellAnchor>
  <xdr:twoCellAnchor editAs="absolute">
    <xdr:from>
      <xdr:col>3</xdr:col>
      <xdr:colOff>335280</xdr:colOff>
      <xdr:row>0</xdr:row>
      <xdr:rowOff>38100</xdr:rowOff>
    </xdr:from>
    <xdr:to>
      <xdr:col>6</xdr:col>
      <xdr:colOff>396240</xdr:colOff>
      <xdr:row>2</xdr:row>
      <xdr:rowOff>128028</xdr:rowOff>
    </xdr:to>
    <xdr:sp macro="" textlink="">
      <xdr:nvSpPr>
        <xdr:cNvPr id="3" name="Прямоугольник 2">
          <a:hlinkClick xmlns:r="http://schemas.openxmlformats.org/officeDocument/2006/relationships" r:id="rId2"/>
        </xdr:cNvPr>
        <xdr:cNvSpPr>
          <a:spLocks noChangeAspect="1"/>
        </xdr:cNvSpPr>
      </xdr:nvSpPr>
      <xdr:spPr>
        <a:xfrm>
          <a:off x="2164080" y="38100"/>
          <a:ext cx="1889760" cy="455688"/>
        </a:xfrm>
        <a:prstGeom prst="rect">
          <a:avLst/>
        </a:prstGeom>
        <a:noFill/>
      </xdr:spPr>
      <xdr:txBody>
        <a:bodyPr vertOverflow="clip" horzOverflow="clip" wrap="none" lIns="91440" tIns="45720" rIns="91440" bIns="45720" anchor="ctr">
          <a:prstTxWarp prst="textStop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kern="100" cap="none" spc="-10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Cooper Black" panose="0208090404030B020404" pitchFamily="18" charset="0"/>
            </a:rPr>
            <a:t>fda-studia.ru</a:t>
          </a:r>
          <a:endParaRPr lang="ru-RU" sz="1800" b="1" kern="100" cap="none" spc="-100" baseline="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 editAs="absolute">
    <xdr:from>
      <xdr:col>1</xdr:col>
      <xdr:colOff>22860</xdr:colOff>
      <xdr:row>3</xdr:row>
      <xdr:rowOff>91440</xdr:rowOff>
    </xdr:from>
    <xdr:to>
      <xdr:col>9</xdr:col>
      <xdr:colOff>83820</xdr:colOff>
      <xdr:row>12</xdr:row>
      <xdr:rowOff>106680</xdr:rowOff>
    </xdr:to>
    <xdr:sp macro="" textlink="">
      <xdr:nvSpPr>
        <xdr:cNvPr id="4" name="Прямоугольник 3"/>
        <xdr:cNvSpPr/>
      </xdr:nvSpPr>
      <xdr:spPr>
        <a:xfrm>
          <a:off x="632460" y="640080"/>
          <a:ext cx="4937760" cy="1661160"/>
        </a:xfrm>
        <a:prstGeom prst="rect">
          <a:avLst/>
        </a:prstGeom>
        <a:noFill/>
      </xdr:spPr>
      <xdr:txBody>
        <a:bodyPr wrap="none" lIns="91440" tIns="45720" rIns="91440" bIns="45720">
          <a:prstTxWarp prst="textStop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ru-RU" sz="5400" b="1" cap="none" spc="50">
              <a:ln w="11430"/>
              <a:solidFill>
                <a:srgbClr val="C0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Black" panose="020B0A04020102020204" pitchFamily="34" charset="0"/>
            </a:rPr>
            <a:t>УЧЕТ ГСМ</a:t>
          </a:r>
        </a:p>
      </xdr:txBody>
    </xdr:sp>
    <xdr:clientData/>
  </xdr:twoCellAnchor>
  <xdr:oneCellAnchor>
    <xdr:from>
      <xdr:col>2</xdr:col>
      <xdr:colOff>182880</xdr:colOff>
      <xdr:row>13</xdr:row>
      <xdr:rowOff>7620</xdr:rowOff>
    </xdr:from>
    <xdr:ext cx="3406140" cy="1249864"/>
    <xdr:sp macro="" textlink="">
      <xdr:nvSpPr>
        <xdr:cNvPr id="6" name="Прямоугольник 5"/>
        <xdr:cNvSpPr/>
      </xdr:nvSpPr>
      <xdr:spPr>
        <a:xfrm>
          <a:off x="1402080" y="2385060"/>
          <a:ext cx="3406140" cy="1249864"/>
        </a:xfrm>
        <a:prstGeom prst="rect">
          <a:avLst/>
        </a:prstGeom>
        <a:noFill/>
      </xdr:spPr>
      <xdr:txBody>
        <a:bodyPr wrap="none" lIns="91440" tIns="45720" rIns="91440" bIns="45720">
          <a:prstTxWarp prst="textTriangle">
            <a:avLst>
              <a:gd name="adj" fmla="val 41060"/>
            </a:avLst>
          </a:prstTxWarp>
          <a:spAutoFit/>
        </a:bodyPr>
        <a:lstStyle/>
        <a:p>
          <a:pPr algn="ctr"/>
          <a:r>
            <a:rPr lang="en-US" sz="5400" b="1" i="0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>
                  <a:lumMod val="50000"/>
                </a:schemeClr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EXCEL</a:t>
          </a:r>
          <a:endParaRPr lang="ru-RU" sz="5400" b="1" i="0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>
                <a:lumMod val="50000"/>
              </a:schemeClr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twoCellAnchor editAs="absolute">
    <xdr:from>
      <xdr:col>2</xdr:col>
      <xdr:colOff>365760</xdr:colOff>
      <xdr:row>20</xdr:row>
      <xdr:rowOff>160020</xdr:rowOff>
    </xdr:from>
    <xdr:to>
      <xdr:col>4</xdr:col>
      <xdr:colOff>154560</xdr:colOff>
      <xdr:row>22</xdr:row>
      <xdr:rowOff>57060</xdr:rowOff>
    </xdr:to>
    <xdr:sp macro="" textlink="">
      <xdr:nvSpPr>
        <xdr:cNvPr id="19" name="Прямоугольник с двумя вырезанными противолежащими углами 18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1584960" y="38176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ГСМ</a:t>
          </a:r>
        </a:p>
      </xdr:txBody>
    </xdr:sp>
    <xdr:clientData/>
  </xdr:twoCellAnchor>
  <xdr:twoCellAnchor editAs="absolute">
    <xdr:from>
      <xdr:col>6</xdr:col>
      <xdr:colOff>0</xdr:colOff>
      <xdr:row>20</xdr:row>
      <xdr:rowOff>160020</xdr:rowOff>
    </xdr:from>
    <xdr:to>
      <xdr:col>7</xdr:col>
      <xdr:colOff>398400</xdr:colOff>
      <xdr:row>22</xdr:row>
      <xdr:rowOff>57060</xdr:rowOff>
    </xdr:to>
    <xdr:sp macro="" textlink="">
      <xdr:nvSpPr>
        <xdr:cNvPr id="20" name="Прямоугольник с двумя вырезанными противолежащими углами 19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3657600" y="38176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Сотрудники</a:t>
          </a:r>
        </a:p>
      </xdr:txBody>
    </xdr:sp>
    <xdr:clientData/>
  </xdr:twoCellAnchor>
  <xdr:twoCellAnchor editAs="absolute">
    <xdr:from>
      <xdr:col>2</xdr:col>
      <xdr:colOff>251460</xdr:colOff>
      <xdr:row>22</xdr:row>
      <xdr:rowOff>121920</xdr:rowOff>
    </xdr:from>
    <xdr:to>
      <xdr:col>4</xdr:col>
      <xdr:colOff>40260</xdr:colOff>
      <xdr:row>24</xdr:row>
      <xdr:rowOff>18960</xdr:rowOff>
    </xdr:to>
    <xdr:sp macro="" textlink="">
      <xdr:nvSpPr>
        <xdr:cNvPr id="22" name="Прямоугольник с двумя вырезанными противолежащими углами 21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1470660" y="41452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6</xdr:col>
      <xdr:colOff>137160</xdr:colOff>
      <xdr:row>22</xdr:row>
      <xdr:rowOff>121920</xdr:rowOff>
    </xdr:from>
    <xdr:to>
      <xdr:col>7</xdr:col>
      <xdr:colOff>535560</xdr:colOff>
      <xdr:row>24</xdr:row>
      <xdr:rowOff>18960</xdr:rowOff>
    </xdr:to>
    <xdr:sp macro="" textlink="">
      <xdr:nvSpPr>
        <xdr:cNvPr id="23" name="Прямоугольник с двумя вырезанными противолежащими углами 22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3794760" y="41452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4</xdr:col>
      <xdr:colOff>68580</xdr:colOff>
      <xdr:row>22</xdr:row>
      <xdr:rowOff>121920</xdr:rowOff>
    </xdr:from>
    <xdr:to>
      <xdr:col>6</xdr:col>
      <xdr:colOff>109380</xdr:colOff>
      <xdr:row>24</xdr:row>
      <xdr:rowOff>18960</xdr:rowOff>
    </xdr:to>
    <xdr:sp macro="" textlink="">
      <xdr:nvSpPr>
        <xdr:cNvPr id="24" name="Прямоугольник с двумя вырезанными противолежащими углами 23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2506980" y="4145280"/>
          <a:ext cx="1260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Оборотка-Склад</a:t>
          </a:r>
        </a:p>
      </xdr:txBody>
    </xdr:sp>
    <xdr:clientData/>
  </xdr:twoCellAnchor>
  <xdr:twoCellAnchor editAs="absolute">
    <xdr:from>
      <xdr:col>4</xdr:col>
      <xdr:colOff>182880</xdr:colOff>
      <xdr:row>20</xdr:row>
      <xdr:rowOff>160020</xdr:rowOff>
    </xdr:from>
    <xdr:to>
      <xdr:col>5</xdr:col>
      <xdr:colOff>581280</xdr:colOff>
      <xdr:row>22</xdr:row>
      <xdr:rowOff>57060</xdr:rowOff>
    </xdr:to>
    <xdr:sp macro="" textlink="">
      <xdr:nvSpPr>
        <xdr:cNvPr id="13" name="Прямоугольник с двумя вырезанными противолежащими углами 12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2621280" y="38176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Автомобили</a:t>
          </a:r>
        </a:p>
      </xdr:txBody>
    </xdr:sp>
    <xdr:clientData/>
  </xdr:twoCellAnchor>
  <xdr:twoCellAnchor editAs="absolute">
    <xdr:from>
      <xdr:col>4</xdr:col>
      <xdr:colOff>160020</xdr:colOff>
      <xdr:row>24</xdr:row>
      <xdr:rowOff>76200</xdr:rowOff>
    </xdr:from>
    <xdr:to>
      <xdr:col>5</xdr:col>
      <xdr:colOff>558420</xdr:colOff>
      <xdr:row>25</xdr:row>
      <xdr:rowOff>156120</xdr:rowOff>
    </xdr:to>
    <xdr:sp macro="" textlink="">
      <xdr:nvSpPr>
        <xdr:cNvPr id="14" name="Прямоугольник с двумя вырезанными противолежащими углами 13">
          <a:hlinkClick xmlns:r="http://schemas.openxmlformats.org/officeDocument/2006/relationships" r:id="rId9"/>
        </xdr:cNvPr>
        <xdr:cNvSpPr>
          <a:spLocks/>
        </xdr:cNvSpPr>
      </xdr:nvSpPr>
      <xdr:spPr>
        <a:xfrm>
          <a:off x="2598420" y="44653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Ведомость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0</xdr:rowOff>
    </xdr:from>
    <xdr:to>
      <xdr:col>1</xdr:col>
      <xdr:colOff>312420</xdr:colOff>
      <xdr:row>2</xdr:row>
      <xdr:rowOff>156489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0"/>
          <a:ext cx="746760" cy="491769"/>
        </a:xfrm>
        <a:prstGeom prst="rect">
          <a:avLst/>
        </a:prstGeom>
      </xdr:spPr>
    </xdr:pic>
    <xdr:clientData/>
  </xdr:twoCellAnchor>
  <xdr:twoCellAnchor editAs="absolute">
    <xdr:from>
      <xdr:col>2</xdr:col>
      <xdr:colOff>1074420</xdr:colOff>
      <xdr:row>0</xdr:row>
      <xdr:rowOff>45720</xdr:rowOff>
    </xdr:from>
    <xdr:to>
      <xdr:col>2</xdr:col>
      <xdr:colOff>2082420</xdr:colOff>
      <xdr:row>1</xdr:row>
      <xdr:rowOff>140880</xdr:rowOff>
    </xdr:to>
    <xdr:sp macro="" textlink="">
      <xdr:nvSpPr>
        <xdr:cNvPr id="4" name="Прямоугольник с двумя вырезанными противолежащими углами 3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2293620" y="457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FFFF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ГСМ</a:t>
          </a:r>
        </a:p>
      </xdr:txBody>
    </xdr:sp>
    <xdr:clientData/>
  </xdr:twoCellAnchor>
  <xdr:twoCellAnchor editAs="absolute">
    <xdr:from>
      <xdr:col>3</xdr:col>
      <xdr:colOff>830580</xdr:colOff>
      <xdr:row>0</xdr:row>
      <xdr:rowOff>45720</xdr:rowOff>
    </xdr:from>
    <xdr:to>
      <xdr:col>4</xdr:col>
      <xdr:colOff>482220</xdr:colOff>
      <xdr:row>1</xdr:row>
      <xdr:rowOff>140880</xdr:rowOff>
    </xdr:to>
    <xdr:sp macro="" textlink="">
      <xdr:nvSpPr>
        <xdr:cNvPr id="5" name="Прямоугольник с двумя вырезанными противолежащими углами 4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4366260" y="457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Сотрудники</a:t>
          </a:r>
        </a:p>
      </xdr:txBody>
    </xdr:sp>
    <xdr:clientData/>
  </xdr:twoCellAnchor>
  <xdr:twoCellAnchor editAs="absolute">
    <xdr:from>
      <xdr:col>2</xdr:col>
      <xdr:colOff>2110740</xdr:colOff>
      <xdr:row>0</xdr:row>
      <xdr:rowOff>45720</xdr:rowOff>
    </xdr:from>
    <xdr:to>
      <xdr:col>3</xdr:col>
      <xdr:colOff>802260</xdr:colOff>
      <xdr:row>1</xdr:row>
      <xdr:rowOff>140880</xdr:rowOff>
    </xdr:to>
    <xdr:sp macro="" textlink="">
      <xdr:nvSpPr>
        <xdr:cNvPr id="6" name="Прямоугольник с двумя вырезанными противолежащими углами 5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3329940" y="457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Автомобили</a:t>
          </a:r>
        </a:p>
      </xdr:txBody>
    </xdr:sp>
    <xdr:clientData/>
  </xdr:twoCellAnchor>
  <xdr:twoCellAnchor editAs="absolute">
    <xdr:from>
      <xdr:col>4</xdr:col>
      <xdr:colOff>457200</xdr:colOff>
      <xdr:row>0</xdr:row>
      <xdr:rowOff>45720</xdr:rowOff>
    </xdr:from>
    <xdr:to>
      <xdr:col>5</xdr:col>
      <xdr:colOff>47880</xdr:colOff>
      <xdr:row>1</xdr:row>
      <xdr:rowOff>140880</xdr:rowOff>
    </xdr:to>
    <xdr:sp macro="" textlink="">
      <xdr:nvSpPr>
        <xdr:cNvPr id="10" name="Прямоугольник с двумя вырезанными противолежащими углами 9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5349240" y="457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6</xdr:col>
      <xdr:colOff>563880</xdr:colOff>
      <xdr:row>0</xdr:row>
      <xdr:rowOff>45720</xdr:rowOff>
    </xdr:from>
    <xdr:to>
      <xdr:col>8</xdr:col>
      <xdr:colOff>352680</xdr:colOff>
      <xdr:row>1</xdr:row>
      <xdr:rowOff>140880</xdr:rowOff>
    </xdr:to>
    <xdr:sp macro="" textlink="">
      <xdr:nvSpPr>
        <xdr:cNvPr id="11" name="Прямоугольник с двумя вырезанными противолежащими углами 10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7673340" y="457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5</xdr:col>
      <xdr:colOff>76200</xdr:colOff>
      <xdr:row>0</xdr:row>
      <xdr:rowOff>45720</xdr:rowOff>
    </xdr:from>
    <xdr:to>
      <xdr:col>6</xdr:col>
      <xdr:colOff>536100</xdr:colOff>
      <xdr:row>1</xdr:row>
      <xdr:rowOff>140880</xdr:rowOff>
    </xdr:to>
    <xdr:sp macro="" textlink="">
      <xdr:nvSpPr>
        <xdr:cNvPr id="12" name="Прямоугольник с двумя вырезанными противолежащими углами 11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6385560" y="45720"/>
          <a:ext cx="1260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Оборотка-Склад</a:t>
          </a:r>
        </a:p>
      </xdr:txBody>
    </xdr:sp>
    <xdr:clientData/>
  </xdr:twoCellAnchor>
  <xdr:twoCellAnchor editAs="absolute">
    <xdr:from>
      <xdr:col>8</xdr:col>
      <xdr:colOff>381000</xdr:colOff>
      <xdr:row>0</xdr:row>
      <xdr:rowOff>45720</xdr:rowOff>
    </xdr:from>
    <xdr:to>
      <xdr:col>10</xdr:col>
      <xdr:colOff>169800</xdr:colOff>
      <xdr:row>1</xdr:row>
      <xdr:rowOff>140880</xdr:rowOff>
    </xdr:to>
    <xdr:sp macro="" textlink="">
      <xdr:nvSpPr>
        <xdr:cNvPr id="13" name="Прямоугольник с двумя вырезанными противолежащими углами 12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8709660" y="457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Ведомость</a:t>
          </a:r>
        </a:p>
      </xdr:txBody>
    </xdr:sp>
    <xdr:clientData/>
  </xdr:twoCellAnchor>
  <xdr:twoCellAnchor editAs="absolute">
    <xdr:from>
      <xdr:col>2</xdr:col>
      <xdr:colOff>30480</xdr:colOff>
      <xdr:row>0</xdr:row>
      <xdr:rowOff>38100</xdr:rowOff>
    </xdr:from>
    <xdr:to>
      <xdr:col>2</xdr:col>
      <xdr:colOff>1038480</xdr:colOff>
      <xdr:row>1</xdr:row>
      <xdr:rowOff>133260</xdr:rowOff>
    </xdr:to>
    <xdr:sp macro="" textlink="">
      <xdr:nvSpPr>
        <xdr:cNvPr id="18" name="Прямоугольник с двумя вырезанными противолежащими углами 17">
          <a:hlinkClick xmlns:r="http://schemas.openxmlformats.org/officeDocument/2006/relationships" r:id="rId9"/>
        </xdr:cNvPr>
        <xdr:cNvSpPr>
          <a:spLocks/>
        </xdr:cNvSpPr>
      </xdr:nvSpPr>
      <xdr:spPr>
        <a:xfrm>
          <a:off x="1249680" y="3810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Главная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0</xdr:rowOff>
    </xdr:from>
    <xdr:to>
      <xdr:col>1</xdr:col>
      <xdr:colOff>335280</xdr:colOff>
      <xdr:row>2</xdr:row>
      <xdr:rowOff>141435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0"/>
          <a:ext cx="723900" cy="476715"/>
        </a:xfrm>
        <a:prstGeom prst="rect">
          <a:avLst/>
        </a:prstGeom>
      </xdr:spPr>
    </xdr:pic>
    <xdr:clientData/>
  </xdr:twoCellAnchor>
  <xdr:twoCellAnchor editAs="absolute">
    <xdr:from>
      <xdr:col>2</xdr:col>
      <xdr:colOff>1043940</xdr:colOff>
      <xdr:row>0</xdr:row>
      <xdr:rowOff>30480</xdr:rowOff>
    </xdr:from>
    <xdr:to>
      <xdr:col>3</xdr:col>
      <xdr:colOff>726060</xdr:colOff>
      <xdr:row>1</xdr:row>
      <xdr:rowOff>125640</xdr:rowOff>
    </xdr:to>
    <xdr:sp macro="" textlink="">
      <xdr:nvSpPr>
        <xdr:cNvPr id="26" name="Прямоугольник с двумя вырезанными противолежащими углами 25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226314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ГСМ</a:t>
          </a:r>
        </a:p>
      </xdr:txBody>
    </xdr:sp>
    <xdr:clientData/>
  </xdr:twoCellAnchor>
  <xdr:twoCellAnchor editAs="absolute">
    <xdr:from>
      <xdr:col>4</xdr:col>
      <xdr:colOff>594360</xdr:colOff>
      <xdr:row>0</xdr:row>
      <xdr:rowOff>30480</xdr:rowOff>
    </xdr:from>
    <xdr:to>
      <xdr:col>4</xdr:col>
      <xdr:colOff>1602360</xdr:colOff>
      <xdr:row>1</xdr:row>
      <xdr:rowOff>125640</xdr:rowOff>
    </xdr:to>
    <xdr:sp macro="" textlink="">
      <xdr:nvSpPr>
        <xdr:cNvPr id="27" name="Прямоугольник с двумя вырезанными противолежащими углами 26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43357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Сотрудники</a:t>
          </a:r>
        </a:p>
      </xdr:txBody>
    </xdr:sp>
    <xdr:clientData/>
  </xdr:twoCellAnchor>
  <xdr:twoCellAnchor editAs="absolute">
    <xdr:from>
      <xdr:col>3</xdr:col>
      <xdr:colOff>754380</xdr:colOff>
      <xdr:row>0</xdr:row>
      <xdr:rowOff>30480</xdr:rowOff>
    </xdr:from>
    <xdr:to>
      <xdr:col>4</xdr:col>
      <xdr:colOff>566040</xdr:colOff>
      <xdr:row>1</xdr:row>
      <xdr:rowOff>125640</xdr:rowOff>
    </xdr:to>
    <xdr:sp macro="" textlink="">
      <xdr:nvSpPr>
        <xdr:cNvPr id="28" name="Прямоугольник с двумя вырезанными противолежащими углами 27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32994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FFFF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Автомобили</a:t>
          </a:r>
        </a:p>
      </xdr:txBody>
    </xdr:sp>
    <xdr:clientData/>
  </xdr:twoCellAnchor>
  <xdr:twoCellAnchor editAs="absolute">
    <xdr:from>
      <xdr:col>4</xdr:col>
      <xdr:colOff>1577340</xdr:colOff>
      <xdr:row>0</xdr:row>
      <xdr:rowOff>30480</xdr:rowOff>
    </xdr:from>
    <xdr:to>
      <xdr:col>6</xdr:col>
      <xdr:colOff>17400</xdr:colOff>
      <xdr:row>1</xdr:row>
      <xdr:rowOff>125640</xdr:rowOff>
    </xdr:to>
    <xdr:sp macro="" textlink="">
      <xdr:nvSpPr>
        <xdr:cNvPr id="29" name="Прямоугольник с двумя вырезанными противолежащими углами 28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53187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8</xdr:col>
      <xdr:colOff>114300</xdr:colOff>
      <xdr:row>0</xdr:row>
      <xdr:rowOff>30480</xdr:rowOff>
    </xdr:from>
    <xdr:to>
      <xdr:col>9</xdr:col>
      <xdr:colOff>512700</xdr:colOff>
      <xdr:row>1</xdr:row>
      <xdr:rowOff>125640</xdr:rowOff>
    </xdr:to>
    <xdr:sp macro="" textlink="">
      <xdr:nvSpPr>
        <xdr:cNvPr id="30" name="Прямоугольник с двумя вырезанными противолежащими углами 29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76428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6</xdr:col>
      <xdr:colOff>45720</xdr:colOff>
      <xdr:row>0</xdr:row>
      <xdr:rowOff>30480</xdr:rowOff>
    </xdr:from>
    <xdr:to>
      <xdr:col>8</xdr:col>
      <xdr:colOff>86520</xdr:colOff>
      <xdr:row>1</xdr:row>
      <xdr:rowOff>125640</xdr:rowOff>
    </xdr:to>
    <xdr:sp macro="" textlink="">
      <xdr:nvSpPr>
        <xdr:cNvPr id="31" name="Прямоугольник с двумя вырезанными противолежащими углами 30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6355080" y="30480"/>
          <a:ext cx="1260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Оборотка-Склад</a:t>
          </a:r>
        </a:p>
      </xdr:txBody>
    </xdr:sp>
    <xdr:clientData/>
  </xdr:twoCellAnchor>
  <xdr:twoCellAnchor editAs="absolute">
    <xdr:from>
      <xdr:col>9</xdr:col>
      <xdr:colOff>541020</xdr:colOff>
      <xdr:row>0</xdr:row>
      <xdr:rowOff>30480</xdr:rowOff>
    </xdr:from>
    <xdr:to>
      <xdr:col>11</xdr:col>
      <xdr:colOff>329820</xdr:colOff>
      <xdr:row>1</xdr:row>
      <xdr:rowOff>125640</xdr:rowOff>
    </xdr:to>
    <xdr:sp macro="" textlink="">
      <xdr:nvSpPr>
        <xdr:cNvPr id="32" name="Прямоугольник с двумя вырезанными противолежащими углами 31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86791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Ведомость</a:t>
          </a:r>
        </a:p>
      </xdr:txBody>
    </xdr:sp>
    <xdr:clientData/>
  </xdr:twoCellAnchor>
  <xdr:twoCellAnchor editAs="absolute">
    <xdr:from>
      <xdr:col>2</xdr:col>
      <xdr:colOff>0</xdr:colOff>
      <xdr:row>0</xdr:row>
      <xdr:rowOff>22860</xdr:rowOff>
    </xdr:from>
    <xdr:to>
      <xdr:col>2</xdr:col>
      <xdr:colOff>1008000</xdr:colOff>
      <xdr:row>1</xdr:row>
      <xdr:rowOff>118020</xdr:rowOff>
    </xdr:to>
    <xdr:sp macro="" textlink="">
      <xdr:nvSpPr>
        <xdr:cNvPr id="33" name="Прямоугольник с двумя вырезанными противолежащими углами 32">
          <a:hlinkClick xmlns:r="http://schemas.openxmlformats.org/officeDocument/2006/relationships" r:id="rId9"/>
        </xdr:cNvPr>
        <xdr:cNvSpPr>
          <a:spLocks/>
        </xdr:cNvSpPr>
      </xdr:nvSpPr>
      <xdr:spPr>
        <a:xfrm>
          <a:off x="1219200" y="2286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Главная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0</xdr:row>
      <xdr:rowOff>0</xdr:rowOff>
    </xdr:from>
    <xdr:to>
      <xdr:col>1</xdr:col>
      <xdr:colOff>388620</xdr:colOff>
      <xdr:row>2</xdr:row>
      <xdr:rowOff>161507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0"/>
          <a:ext cx="754380" cy="496787"/>
        </a:xfrm>
        <a:prstGeom prst="rect">
          <a:avLst/>
        </a:prstGeom>
      </xdr:spPr>
    </xdr:pic>
    <xdr:clientData/>
  </xdr:twoCellAnchor>
  <xdr:twoCellAnchor editAs="absolute">
    <xdr:from>
      <xdr:col>2</xdr:col>
      <xdr:colOff>1043940</xdr:colOff>
      <xdr:row>0</xdr:row>
      <xdr:rowOff>30480</xdr:rowOff>
    </xdr:from>
    <xdr:to>
      <xdr:col>3</xdr:col>
      <xdr:colOff>581280</xdr:colOff>
      <xdr:row>1</xdr:row>
      <xdr:rowOff>125640</xdr:rowOff>
    </xdr:to>
    <xdr:sp macro="" textlink="">
      <xdr:nvSpPr>
        <xdr:cNvPr id="18" name="Прямоугольник с двумя вырезанными противолежащими углами 17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226314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ГСМ</a:t>
          </a:r>
        </a:p>
      </xdr:txBody>
    </xdr:sp>
    <xdr:clientData/>
  </xdr:twoCellAnchor>
  <xdr:twoCellAnchor editAs="absolute">
    <xdr:from>
      <xdr:col>4</xdr:col>
      <xdr:colOff>220980</xdr:colOff>
      <xdr:row>0</xdr:row>
      <xdr:rowOff>30480</xdr:rowOff>
    </xdr:from>
    <xdr:to>
      <xdr:col>4</xdr:col>
      <xdr:colOff>1228980</xdr:colOff>
      <xdr:row>1</xdr:row>
      <xdr:rowOff>125640</xdr:rowOff>
    </xdr:to>
    <xdr:sp macro="" textlink="">
      <xdr:nvSpPr>
        <xdr:cNvPr id="19" name="Прямоугольник с двумя вырезанными противолежащими углами 18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43357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FFFF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Сотрудники</a:t>
          </a:r>
        </a:p>
      </xdr:txBody>
    </xdr:sp>
    <xdr:clientData/>
  </xdr:twoCellAnchor>
  <xdr:twoCellAnchor editAs="absolute">
    <xdr:from>
      <xdr:col>3</xdr:col>
      <xdr:colOff>609600</xdr:colOff>
      <xdr:row>0</xdr:row>
      <xdr:rowOff>30480</xdr:rowOff>
    </xdr:from>
    <xdr:to>
      <xdr:col>4</xdr:col>
      <xdr:colOff>192660</xdr:colOff>
      <xdr:row>1</xdr:row>
      <xdr:rowOff>125640</xdr:rowOff>
    </xdr:to>
    <xdr:sp macro="" textlink="">
      <xdr:nvSpPr>
        <xdr:cNvPr id="20" name="Прямоугольник с двумя вырезанными противолежащими углами 19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32994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Автомобили</a:t>
          </a:r>
        </a:p>
      </xdr:txBody>
    </xdr:sp>
    <xdr:clientData/>
  </xdr:twoCellAnchor>
  <xdr:twoCellAnchor editAs="absolute">
    <xdr:from>
      <xdr:col>4</xdr:col>
      <xdr:colOff>1203960</xdr:colOff>
      <xdr:row>0</xdr:row>
      <xdr:rowOff>30480</xdr:rowOff>
    </xdr:from>
    <xdr:to>
      <xdr:col>5</xdr:col>
      <xdr:colOff>832740</xdr:colOff>
      <xdr:row>1</xdr:row>
      <xdr:rowOff>125640</xdr:rowOff>
    </xdr:to>
    <xdr:sp macro="" textlink="">
      <xdr:nvSpPr>
        <xdr:cNvPr id="21" name="Прямоугольник с двумя вырезанными противолежащими углами 20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53187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6</xdr:col>
      <xdr:colOff>419100</xdr:colOff>
      <xdr:row>0</xdr:row>
      <xdr:rowOff>30480</xdr:rowOff>
    </xdr:from>
    <xdr:to>
      <xdr:col>8</xdr:col>
      <xdr:colOff>207900</xdr:colOff>
      <xdr:row>1</xdr:row>
      <xdr:rowOff>125640</xdr:rowOff>
    </xdr:to>
    <xdr:sp macro="" textlink="">
      <xdr:nvSpPr>
        <xdr:cNvPr id="22" name="Прямоугольник с двумя вырезанными противолежащими углами 21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76428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5</xdr:col>
      <xdr:colOff>861060</xdr:colOff>
      <xdr:row>0</xdr:row>
      <xdr:rowOff>30480</xdr:rowOff>
    </xdr:from>
    <xdr:to>
      <xdr:col>6</xdr:col>
      <xdr:colOff>391320</xdr:colOff>
      <xdr:row>1</xdr:row>
      <xdr:rowOff>125640</xdr:rowOff>
    </xdr:to>
    <xdr:sp macro="" textlink="">
      <xdr:nvSpPr>
        <xdr:cNvPr id="23" name="Прямоугольник с двумя вырезанными противолежащими углами 22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6355080" y="30480"/>
          <a:ext cx="1260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Оборотка-Склад</a:t>
          </a:r>
        </a:p>
      </xdr:txBody>
    </xdr:sp>
    <xdr:clientData/>
  </xdr:twoCellAnchor>
  <xdr:twoCellAnchor editAs="absolute">
    <xdr:from>
      <xdr:col>8</xdr:col>
      <xdr:colOff>236220</xdr:colOff>
      <xdr:row>0</xdr:row>
      <xdr:rowOff>30480</xdr:rowOff>
    </xdr:from>
    <xdr:to>
      <xdr:col>10</xdr:col>
      <xdr:colOff>25020</xdr:colOff>
      <xdr:row>1</xdr:row>
      <xdr:rowOff>125640</xdr:rowOff>
    </xdr:to>
    <xdr:sp macro="" textlink="">
      <xdr:nvSpPr>
        <xdr:cNvPr id="24" name="Прямоугольник с двумя вырезанными противолежащими углами 23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86791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Ведомость</a:t>
          </a:r>
        </a:p>
      </xdr:txBody>
    </xdr:sp>
    <xdr:clientData/>
  </xdr:twoCellAnchor>
  <xdr:twoCellAnchor editAs="absolute">
    <xdr:from>
      <xdr:col>2</xdr:col>
      <xdr:colOff>0</xdr:colOff>
      <xdr:row>0</xdr:row>
      <xdr:rowOff>22860</xdr:rowOff>
    </xdr:from>
    <xdr:to>
      <xdr:col>2</xdr:col>
      <xdr:colOff>1008000</xdr:colOff>
      <xdr:row>1</xdr:row>
      <xdr:rowOff>118020</xdr:rowOff>
    </xdr:to>
    <xdr:sp macro="" textlink="">
      <xdr:nvSpPr>
        <xdr:cNvPr id="25" name="Прямоугольник с двумя вырезанными противолежащими углами 24">
          <a:hlinkClick xmlns:r="http://schemas.openxmlformats.org/officeDocument/2006/relationships" r:id="rId9"/>
        </xdr:cNvPr>
        <xdr:cNvSpPr>
          <a:spLocks/>
        </xdr:cNvSpPr>
      </xdr:nvSpPr>
      <xdr:spPr>
        <a:xfrm>
          <a:off x="1219200" y="2286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Главная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0</xdr:rowOff>
    </xdr:from>
    <xdr:to>
      <xdr:col>1</xdr:col>
      <xdr:colOff>405552</xdr:colOff>
      <xdr:row>3</xdr:row>
      <xdr:rowOff>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763692" cy="502920"/>
        </a:xfrm>
        <a:prstGeom prst="rect">
          <a:avLst/>
        </a:prstGeom>
      </xdr:spPr>
    </xdr:pic>
    <xdr:clientData/>
  </xdr:twoCellAnchor>
  <xdr:twoCellAnchor editAs="absolute">
    <xdr:from>
      <xdr:col>3</xdr:col>
      <xdr:colOff>53340</xdr:colOff>
      <xdr:row>0</xdr:row>
      <xdr:rowOff>30480</xdr:rowOff>
    </xdr:from>
    <xdr:to>
      <xdr:col>3</xdr:col>
      <xdr:colOff>1061340</xdr:colOff>
      <xdr:row>1</xdr:row>
      <xdr:rowOff>125640</xdr:rowOff>
    </xdr:to>
    <xdr:sp macro="" textlink="">
      <xdr:nvSpPr>
        <xdr:cNvPr id="27" name="Прямоугольник с двумя вырезанными противолежащими углами 26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226314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ГСМ</a:t>
          </a:r>
        </a:p>
      </xdr:txBody>
    </xdr:sp>
    <xdr:clientData/>
  </xdr:twoCellAnchor>
  <xdr:twoCellAnchor editAs="absolute">
    <xdr:from>
      <xdr:col>4</xdr:col>
      <xdr:colOff>0</xdr:colOff>
      <xdr:row>0</xdr:row>
      <xdr:rowOff>30480</xdr:rowOff>
    </xdr:from>
    <xdr:to>
      <xdr:col>4</xdr:col>
      <xdr:colOff>1008000</xdr:colOff>
      <xdr:row>1</xdr:row>
      <xdr:rowOff>125640</xdr:rowOff>
    </xdr:to>
    <xdr:sp macro="" textlink="">
      <xdr:nvSpPr>
        <xdr:cNvPr id="28" name="Прямоугольник с двумя вырезанными противолежащими углами 27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43357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Сотрудники</a:t>
          </a:r>
        </a:p>
      </xdr:txBody>
    </xdr:sp>
    <xdr:clientData/>
  </xdr:twoCellAnchor>
  <xdr:twoCellAnchor editAs="absolute">
    <xdr:from>
      <xdr:col>3</xdr:col>
      <xdr:colOff>1089660</xdr:colOff>
      <xdr:row>0</xdr:row>
      <xdr:rowOff>30480</xdr:rowOff>
    </xdr:from>
    <xdr:to>
      <xdr:col>3</xdr:col>
      <xdr:colOff>2097660</xdr:colOff>
      <xdr:row>1</xdr:row>
      <xdr:rowOff>125640</xdr:rowOff>
    </xdr:to>
    <xdr:sp macro="" textlink="">
      <xdr:nvSpPr>
        <xdr:cNvPr id="29" name="Прямоугольник с двумя вырезанными противолежащими углами 28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32994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Автомобили</a:t>
          </a:r>
        </a:p>
      </xdr:txBody>
    </xdr:sp>
    <xdr:clientData/>
  </xdr:twoCellAnchor>
  <xdr:twoCellAnchor editAs="absolute">
    <xdr:from>
      <xdr:col>4</xdr:col>
      <xdr:colOff>982980</xdr:colOff>
      <xdr:row>0</xdr:row>
      <xdr:rowOff>30480</xdr:rowOff>
    </xdr:from>
    <xdr:to>
      <xdr:col>5</xdr:col>
      <xdr:colOff>886080</xdr:colOff>
      <xdr:row>1</xdr:row>
      <xdr:rowOff>125640</xdr:rowOff>
    </xdr:to>
    <xdr:sp macro="" textlink="">
      <xdr:nvSpPr>
        <xdr:cNvPr id="30" name="Прямоугольник с двумя вырезанными противолежащими углами 29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53187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FFFF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7</xdr:col>
      <xdr:colOff>647700</xdr:colOff>
      <xdr:row>0</xdr:row>
      <xdr:rowOff>30480</xdr:rowOff>
    </xdr:from>
    <xdr:to>
      <xdr:col>9</xdr:col>
      <xdr:colOff>146940</xdr:colOff>
      <xdr:row>1</xdr:row>
      <xdr:rowOff>125640</xdr:rowOff>
    </xdr:to>
    <xdr:sp macro="" textlink="">
      <xdr:nvSpPr>
        <xdr:cNvPr id="31" name="Прямоугольник с двумя вырезанными противолежащими углами 30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76428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6</xdr:col>
      <xdr:colOff>15240</xdr:colOff>
      <xdr:row>0</xdr:row>
      <xdr:rowOff>30480</xdr:rowOff>
    </xdr:from>
    <xdr:to>
      <xdr:col>7</xdr:col>
      <xdr:colOff>619920</xdr:colOff>
      <xdr:row>1</xdr:row>
      <xdr:rowOff>125640</xdr:rowOff>
    </xdr:to>
    <xdr:sp macro="" textlink="">
      <xdr:nvSpPr>
        <xdr:cNvPr id="32" name="Прямоугольник с двумя вырезанными противолежащими углами 31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6355080" y="30480"/>
          <a:ext cx="1260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Оборотка-Склад</a:t>
          </a:r>
        </a:p>
      </xdr:txBody>
    </xdr:sp>
    <xdr:clientData/>
  </xdr:twoCellAnchor>
  <xdr:twoCellAnchor editAs="absolute">
    <xdr:from>
      <xdr:col>9</xdr:col>
      <xdr:colOff>175260</xdr:colOff>
      <xdr:row>0</xdr:row>
      <xdr:rowOff>30480</xdr:rowOff>
    </xdr:from>
    <xdr:to>
      <xdr:col>10</xdr:col>
      <xdr:colOff>299340</xdr:colOff>
      <xdr:row>1</xdr:row>
      <xdr:rowOff>125640</xdr:rowOff>
    </xdr:to>
    <xdr:sp macro="" textlink="">
      <xdr:nvSpPr>
        <xdr:cNvPr id="33" name="Прямоугольник с двумя вырезанными противолежащими углами 32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86791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Ведомость</a:t>
          </a:r>
        </a:p>
      </xdr:txBody>
    </xdr:sp>
    <xdr:clientData/>
  </xdr:twoCellAnchor>
  <xdr:twoCellAnchor editAs="absolute">
    <xdr:from>
      <xdr:col>2</xdr:col>
      <xdr:colOff>0</xdr:colOff>
      <xdr:row>0</xdr:row>
      <xdr:rowOff>22860</xdr:rowOff>
    </xdr:from>
    <xdr:to>
      <xdr:col>3</xdr:col>
      <xdr:colOff>17400</xdr:colOff>
      <xdr:row>1</xdr:row>
      <xdr:rowOff>118020</xdr:rowOff>
    </xdr:to>
    <xdr:sp macro="" textlink="">
      <xdr:nvSpPr>
        <xdr:cNvPr id="34" name="Прямоугольник с двумя вырезанными противолежащими углами 33">
          <a:hlinkClick xmlns:r="http://schemas.openxmlformats.org/officeDocument/2006/relationships" r:id="rId9"/>
        </xdr:cNvPr>
        <xdr:cNvSpPr>
          <a:spLocks/>
        </xdr:cNvSpPr>
      </xdr:nvSpPr>
      <xdr:spPr>
        <a:xfrm>
          <a:off x="1219200" y="2286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Главная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129541</xdr:colOff>
      <xdr:row>0</xdr:row>
      <xdr:rowOff>0</xdr:rowOff>
    </xdr:from>
    <xdr:to>
      <xdr:col>1</xdr:col>
      <xdr:colOff>502921</xdr:colOff>
      <xdr:row>2</xdr:row>
      <xdr:rowOff>312049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1" y="0"/>
          <a:ext cx="982980" cy="647329"/>
        </a:xfrm>
        <a:prstGeom prst="rect">
          <a:avLst/>
        </a:prstGeom>
      </xdr:spPr>
    </xdr:pic>
    <xdr:clientData/>
  </xdr:twoCellAnchor>
  <xdr:twoCellAnchor editAs="absolute">
    <xdr:from>
      <xdr:col>3</xdr:col>
      <xdr:colOff>53340</xdr:colOff>
      <xdr:row>0</xdr:row>
      <xdr:rowOff>30480</xdr:rowOff>
    </xdr:from>
    <xdr:to>
      <xdr:col>4</xdr:col>
      <xdr:colOff>253620</xdr:colOff>
      <xdr:row>1</xdr:row>
      <xdr:rowOff>125640</xdr:rowOff>
    </xdr:to>
    <xdr:sp macro="" textlink="">
      <xdr:nvSpPr>
        <xdr:cNvPr id="18" name="Прямоугольник с двумя вырезанными противолежащими углами 17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226314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ГСМ</a:t>
          </a:r>
        </a:p>
      </xdr:txBody>
    </xdr:sp>
    <xdr:clientData/>
  </xdr:twoCellAnchor>
  <xdr:twoCellAnchor editAs="absolute">
    <xdr:from>
      <xdr:col>4</xdr:col>
      <xdr:colOff>1318260</xdr:colOff>
      <xdr:row>0</xdr:row>
      <xdr:rowOff>30480</xdr:rowOff>
    </xdr:from>
    <xdr:to>
      <xdr:col>5</xdr:col>
      <xdr:colOff>657480</xdr:colOff>
      <xdr:row>1</xdr:row>
      <xdr:rowOff>125640</xdr:rowOff>
    </xdr:to>
    <xdr:sp macro="" textlink="">
      <xdr:nvSpPr>
        <xdr:cNvPr id="19" name="Прямоугольник с двумя вырезанными противолежащими углами 18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43357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Сотрудники</a:t>
          </a:r>
        </a:p>
      </xdr:txBody>
    </xdr:sp>
    <xdr:clientData/>
  </xdr:twoCellAnchor>
  <xdr:twoCellAnchor editAs="absolute">
    <xdr:from>
      <xdr:col>4</xdr:col>
      <xdr:colOff>281940</xdr:colOff>
      <xdr:row>0</xdr:row>
      <xdr:rowOff>30480</xdr:rowOff>
    </xdr:from>
    <xdr:to>
      <xdr:col>4</xdr:col>
      <xdr:colOff>1289940</xdr:colOff>
      <xdr:row>1</xdr:row>
      <xdr:rowOff>125640</xdr:rowOff>
    </xdr:to>
    <xdr:sp macro="" textlink="">
      <xdr:nvSpPr>
        <xdr:cNvPr id="20" name="Прямоугольник с двумя вырезанными противолежащими углами 19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32994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Автомобили</a:t>
          </a:r>
        </a:p>
      </xdr:txBody>
    </xdr:sp>
    <xdr:clientData/>
  </xdr:twoCellAnchor>
  <xdr:twoCellAnchor editAs="absolute">
    <xdr:from>
      <xdr:col>5</xdr:col>
      <xdr:colOff>632460</xdr:colOff>
      <xdr:row>0</xdr:row>
      <xdr:rowOff>30480</xdr:rowOff>
    </xdr:from>
    <xdr:to>
      <xdr:col>6</xdr:col>
      <xdr:colOff>703200</xdr:colOff>
      <xdr:row>1</xdr:row>
      <xdr:rowOff>125640</xdr:rowOff>
    </xdr:to>
    <xdr:sp macro="" textlink="">
      <xdr:nvSpPr>
        <xdr:cNvPr id="21" name="Прямоугольник с двумя вырезанными противолежащими углами 20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53187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8</xdr:col>
      <xdr:colOff>68580</xdr:colOff>
      <xdr:row>0</xdr:row>
      <xdr:rowOff>30480</xdr:rowOff>
    </xdr:from>
    <xdr:to>
      <xdr:col>8</xdr:col>
      <xdr:colOff>1076580</xdr:colOff>
      <xdr:row>1</xdr:row>
      <xdr:rowOff>125640</xdr:rowOff>
    </xdr:to>
    <xdr:sp macro="" textlink="">
      <xdr:nvSpPr>
        <xdr:cNvPr id="22" name="Прямоугольник с двумя вырезанными противолежащими углами 21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76428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FFFF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6</xdr:col>
      <xdr:colOff>731520</xdr:colOff>
      <xdr:row>0</xdr:row>
      <xdr:rowOff>30480</xdr:rowOff>
    </xdr:from>
    <xdr:to>
      <xdr:col>8</xdr:col>
      <xdr:colOff>40800</xdr:colOff>
      <xdr:row>1</xdr:row>
      <xdr:rowOff>125640</xdr:rowOff>
    </xdr:to>
    <xdr:sp macro="" textlink="">
      <xdr:nvSpPr>
        <xdr:cNvPr id="23" name="Прямоугольник с двумя вырезанными противолежащими углами 22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6355080" y="30480"/>
          <a:ext cx="1260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Оборотка-Склад</a:t>
          </a:r>
        </a:p>
      </xdr:txBody>
    </xdr:sp>
    <xdr:clientData/>
  </xdr:twoCellAnchor>
  <xdr:twoCellAnchor editAs="absolute">
    <xdr:from>
      <xdr:col>8</xdr:col>
      <xdr:colOff>1104900</xdr:colOff>
      <xdr:row>0</xdr:row>
      <xdr:rowOff>30480</xdr:rowOff>
    </xdr:from>
    <xdr:to>
      <xdr:col>9</xdr:col>
      <xdr:colOff>771780</xdr:colOff>
      <xdr:row>1</xdr:row>
      <xdr:rowOff>125640</xdr:rowOff>
    </xdr:to>
    <xdr:sp macro="" textlink="">
      <xdr:nvSpPr>
        <xdr:cNvPr id="24" name="Прямоугольник с двумя вырезанными противолежащими углами 23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86791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Ведомость</a:t>
          </a:r>
        </a:p>
      </xdr:txBody>
    </xdr:sp>
    <xdr:clientData/>
  </xdr:twoCellAnchor>
  <xdr:twoCellAnchor editAs="absolute">
    <xdr:from>
      <xdr:col>2</xdr:col>
      <xdr:colOff>0</xdr:colOff>
      <xdr:row>0</xdr:row>
      <xdr:rowOff>22860</xdr:rowOff>
    </xdr:from>
    <xdr:to>
      <xdr:col>3</xdr:col>
      <xdr:colOff>17400</xdr:colOff>
      <xdr:row>1</xdr:row>
      <xdr:rowOff>118020</xdr:rowOff>
    </xdr:to>
    <xdr:sp macro="" textlink="">
      <xdr:nvSpPr>
        <xdr:cNvPr id="25" name="Прямоугольник с двумя вырезанными противолежащими углами 24">
          <a:hlinkClick xmlns:r="http://schemas.openxmlformats.org/officeDocument/2006/relationships" r:id="rId9"/>
        </xdr:cNvPr>
        <xdr:cNvSpPr>
          <a:spLocks/>
        </xdr:cNvSpPr>
      </xdr:nvSpPr>
      <xdr:spPr>
        <a:xfrm>
          <a:off x="1219200" y="2286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Главная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22860</xdr:rowOff>
    </xdr:from>
    <xdr:to>
      <xdr:col>1</xdr:col>
      <xdr:colOff>601414</xdr:colOff>
      <xdr:row>4</xdr:row>
      <xdr:rowOff>129540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22860"/>
          <a:ext cx="1203394" cy="792480"/>
        </a:xfrm>
        <a:prstGeom prst="rect">
          <a:avLst/>
        </a:prstGeom>
      </xdr:spPr>
    </xdr:pic>
    <xdr:clientData/>
  </xdr:twoCellAnchor>
  <xdr:twoCellAnchor editAs="absolute">
    <xdr:from>
      <xdr:col>2</xdr:col>
      <xdr:colOff>1043940</xdr:colOff>
      <xdr:row>0</xdr:row>
      <xdr:rowOff>30480</xdr:rowOff>
    </xdr:from>
    <xdr:to>
      <xdr:col>3</xdr:col>
      <xdr:colOff>93600</xdr:colOff>
      <xdr:row>1</xdr:row>
      <xdr:rowOff>125640</xdr:rowOff>
    </xdr:to>
    <xdr:sp macro="" textlink="">
      <xdr:nvSpPr>
        <xdr:cNvPr id="18" name="Прямоугольник с двумя вырезанными противолежащими углами 17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226314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ГСМ</a:t>
          </a:r>
        </a:p>
      </xdr:txBody>
    </xdr:sp>
    <xdr:clientData/>
  </xdr:twoCellAnchor>
  <xdr:twoCellAnchor editAs="absolute">
    <xdr:from>
      <xdr:col>4</xdr:col>
      <xdr:colOff>76200</xdr:colOff>
      <xdr:row>0</xdr:row>
      <xdr:rowOff>30480</xdr:rowOff>
    </xdr:from>
    <xdr:to>
      <xdr:col>5</xdr:col>
      <xdr:colOff>2160</xdr:colOff>
      <xdr:row>1</xdr:row>
      <xdr:rowOff>125640</xdr:rowOff>
    </xdr:to>
    <xdr:sp macro="" textlink="">
      <xdr:nvSpPr>
        <xdr:cNvPr id="19" name="Прямоугольник с двумя вырезанными противолежащими углами 18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43357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Сотрудники</a:t>
          </a:r>
        </a:p>
      </xdr:txBody>
    </xdr:sp>
    <xdr:clientData/>
  </xdr:twoCellAnchor>
  <xdr:twoCellAnchor editAs="absolute">
    <xdr:from>
      <xdr:col>3</xdr:col>
      <xdr:colOff>121920</xdr:colOff>
      <xdr:row>0</xdr:row>
      <xdr:rowOff>30480</xdr:rowOff>
    </xdr:from>
    <xdr:to>
      <xdr:col>4</xdr:col>
      <xdr:colOff>47880</xdr:colOff>
      <xdr:row>1</xdr:row>
      <xdr:rowOff>125640</xdr:rowOff>
    </xdr:to>
    <xdr:sp macro="" textlink="">
      <xdr:nvSpPr>
        <xdr:cNvPr id="20" name="Прямоугольник с двумя вырезанными противолежащими углами 19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32994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Автомобили</a:t>
          </a:r>
        </a:p>
      </xdr:txBody>
    </xdr:sp>
    <xdr:clientData/>
  </xdr:twoCellAnchor>
  <xdr:twoCellAnchor editAs="absolute">
    <xdr:from>
      <xdr:col>4</xdr:col>
      <xdr:colOff>1059180</xdr:colOff>
      <xdr:row>0</xdr:row>
      <xdr:rowOff>30480</xdr:rowOff>
    </xdr:from>
    <xdr:to>
      <xdr:col>5</xdr:col>
      <xdr:colOff>985140</xdr:colOff>
      <xdr:row>1</xdr:row>
      <xdr:rowOff>125640</xdr:rowOff>
    </xdr:to>
    <xdr:sp macro="" textlink="">
      <xdr:nvSpPr>
        <xdr:cNvPr id="21" name="Прямоугольник с двумя вырезанными противолежащими углами 20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53187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7</xdr:col>
      <xdr:colOff>167640</xdr:colOff>
      <xdr:row>0</xdr:row>
      <xdr:rowOff>30480</xdr:rowOff>
    </xdr:from>
    <xdr:to>
      <xdr:col>8</xdr:col>
      <xdr:colOff>78360</xdr:colOff>
      <xdr:row>1</xdr:row>
      <xdr:rowOff>125640</xdr:rowOff>
    </xdr:to>
    <xdr:sp macro="" textlink="">
      <xdr:nvSpPr>
        <xdr:cNvPr id="22" name="Прямоугольник с двумя вырезанными противолежащими углами 21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76428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5</xdr:col>
      <xdr:colOff>1013460</xdr:colOff>
      <xdr:row>0</xdr:row>
      <xdr:rowOff>30480</xdr:rowOff>
    </xdr:from>
    <xdr:to>
      <xdr:col>7</xdr:col>
      <xdr:colOff>139860</xdr:colOff>
      <xdr:row>1</xdr:row>
      <xdr:rowOff>125640</xdr:rowOff>
    </xdr:to>
    <xdr:sp macro="" textlink="">
      <xdr:nvSpPr>
        <xdr:cNvPr id="23" name="Прямоугольник с двумя вырезанными противолежащими углами 22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6355080" y="30480"/>
          <a:ext cx="1260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FFFF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Оборотка-Склад</a:t>
          </a:r>
        </a:p>
      </xdr:txBody>
    </xdr:sp>
    <xdr:clientData/>
  </xdr:twoCellAnchor>
  <xdr:twoCellAnchor editAs="absolute">
    <xdr:from>
      <xdr:col>8</xdr:col>
      <xdr:colOff>106680</xdr:colOff>
      <xdr:row>0</xdr:row>
      <xdr:rowOff>30480</xdr:rowOff>
    </xdr:from>
    <xdr:to>
      <xdr:col>9</xdr:col>
      <xdr:colOff>17400</xdr:colOff>
      <xdr:row>1</xdr:row>
      <xdr:rowOff>125640</xdr:rowOff>
    </xdr:to>
    <xdr:sp macro="" textlink="">
      <xdr:nvSpPr>
        <xdr:cNvPr id="24" name="Прямоугольник с двумя вырезанными противолежащими углами 23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86791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Ведомость</a:t>
          </a:r>
        </a:p>
      </xdr:txBody>
    </xdr:sp>
    <xdr:clientData/>
  </xdr:twoCellAnchor>
  <xdr:twoCellAnchor editAs="absolute">
    <xdr:from>
      <xdr:col>2</xdr:col>
      <xdr:colOff>0</xdr:colOff>
      <xdr:row>0</xdr:row>
      <xdr:rowOff>22860</xdr:rowOff>
    </xdr:from>
    <xdr:to>
      <xdr:col>2</xdr:col>
      <xdr:colOff>1008000</xdr:colOff>
      <xdr:row>1</xdr:row>
      <xdr:rowOff>118020</xdr:rowOff>
    </xdr:to>
    <xdr:sp macro="" textlink="">
      <xdr:nvSpPr>
        <xdr:cNvPr id="25" name="Прямоугольник с двумя вырезанными противолежащими углами 24">
          <a:hlinkClick xmlns:r="http://schemas.openxmlformats.org/officeDocument/2006/relationships" r:id="rId9"/>
        </xdr:cNvPr>
        <xdr:cNvSpPr>
          <a:spLocks/>
        </xdr:cNvSpPr>
      </xdr:nvSpPr>
      <xdr:spPr>
        <a:xfrm>
          <a:off x="1219200" y="2286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Главная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7620</xdr:rowOff>
    </xdr:from>
    <xdr:to>
      <xdr:col>1</xdr:col>
      <xdr:colOff>358140</xdr:colOff>
      <xdr:row>2</xdr:row>
      <xdr:rowOff>148684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7620"/>
          <a:ext cx="769620" cy="506824"/>
        </a:xfrm>
        <a:prstGeom prst="rect">
          <a:avLst/>
        </a:prstGeom>
      </xdr:spPr>
    </xdr:pic>
    <xdr:clientData/>
  </xdr:twoCellAnchor>
  <xdr:twoCellAnchor editAs="absolute">
    <xdr:from>
      <xdr:col>3</xdr:col>
      <xdr:colOff>22860</xdr:colOff>
      <xdr:row>0</xdr:row>
      <xdr:rowOff>30480</xdr:rowOff>
    </xdr:from>
    <xdr:to>
      <xdr:col>4</xdr:col>
      <xdr:colOff>139320</xdr:colOff>
      <xdr:row>1</xdr:row>
      <xdr:rowOff>110400</xdr:rowOff>
    </xdr:to>
    <xdr:sp macro="" textlink="">
      <xdr:nvSpPr>
        <xdr:cNvPr id="26" name="Прямоугольник с двумя вырезанными противолежащими углами 25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226314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ГСМ</a:t>
          </a:r>
        </a:p>
      </xdr:txBody>
    </xdr:sp>
    <xdr:clientData/>
  </xdr:twoCellAnchor>
  <xdr:twoCellAnchor editAs="absolute">
    <xdr:from>
      <xdr:col>4</xdr:col>
      <xdr:colOff>1203960</xdr:colOff>
      <xdr:row>0</xdr:row>
      <xdr:rowOff>30480</xdr:rowOff>
    </xdr:from>
    <xdr:to>
      <xdr:col>5</xdr:col>
      <xdr:colOff>787020</xdr:colOff>
      <xdr:row>1</xdr:row>
      <xdr:rowOff>110400</xdr:rowOff>
    </xdr:to>
    <xdr:sp macro="" textlink="">
      <xdr:nvSpPr>
        <xdr:cNvPr id="27" name="Прямоугольник с двумя вырезанными противолежащими углами 26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43357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Сотрудники</a:t>
          </a:r>
        </a:p>
      </xdr:txBody>
    </xdr:sp>
    <xdr:clientData/>
  </xdr:twoCellAnchor>
  <xdr:twoCellAnchor editAs="absolute">
    <xdr:from>
      <xdr:col>4</xdr:col>
      <xdr:colOff>167640</xdr:colOff>
      <xdr:row>0</xdr:row>
      <xdr:rowOff>30480</xdr:rowOff>
    </xdr:from>
    <xdr:to>
      <xdr:col>4</xdr:col>
      <xdr:colOff>1175640</xdr:colOff>
      <xdr:row>1</xdr:row>
      <xdr:rowOff>110400</xdr:rowOff>
    </xdr:to>
    <xdr:sp macro="" textlink="">
      <xdr:nvSpPr>
        <xdr:cNvPr id="28" name="Прямоугольник с двумя вырезанными противолежащими углами 27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32994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Автомобили</a:t>
          </a:r>
        </a:p>
      </xdr:txBody>
    </xdr:sp>
    <xdr:clientData/>
  </xdr:twoCellAnchor>
  <xdr:twoCellAnchor editAs="absolute">
    <xdr:from>
      <xdr:col>5</xdr:col>
      <xdr:colOff>762000</xdr:colOff>
      <xdr:row>0</xdr:row>
      <xdr:rowOff>30480</xdr:rowOff>
    </xdr:from>
    <xdr:to>
      <xdr:col>6</xdr:col>
      <xdr:colOff>657480</xdr:colOff>
      <xdr:row>1</xdr:row>
      <xdr:rowOff>110400</xdr:rowOff>
    </xdr:to>
    <xdr:sp macro="" textlink="">
      <xdr:nvSpPr>
        <xdr:cNvPr id="29" name="Прямоугольник с двумя вырезанными противолежащими углами 28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53187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7</xdr:col>
      <xdr:colOff>731520</xdr:colOff>
      <xdr:row>0</xdr:row>
      <xdr:rowOff>30480</xdr:rowOff>
    </xdr:from>
    <xdr:to>
      <xdr:col>8</xdr:col>
      <xdr:colOff>185040</xdr:colOff>
      <xdr:row>1</xdr:row>
      <xdr:rowOff>110400</xdr:rowOff>
    </xdr:to>
    <xdr:sp macro="" textlink="">
      <xdr:nvSpPr>
        <xdr:cNvPr id="30" name="Прямоугольник с двумя вырезанными противолежащими углами 29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76428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6</xdr:col>
      <xdr:colOff>685800</xdr:colOff>
      <xdr:row>0</xdr:row>
      <xdr:rowOff>30480</xdr:rowOff>
    </xdr:from>
    <xdr:to>
      <xdr:col>7</xdr:col>
      <xdr:colOff>703740</xdr:colOff>
      <xdr:row>1</xdr:row>
      <xdr:rowOff>110400</xdr:rowOff>
    </xdr:to>
    <xdr:sp macro="" textlink="">
      <xdr:nvSpPr>
        <xdr:cNvPr id="31" name="Прямоугольник с двумя вырезанными противолежащими углами 30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6355080" y="30480"/>
          <a:ext cx="1260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Оборотка-Склад</a:t>
          </a:r>
        </a:p>
      </xdr:txBody>
    </xdr:sp>
    <xdr:clientData/>
  </xdr:twoCellAnchor>
  <xdr:twoCellAnchor editAs="absolute">
    <xdr:from>
      <xdr:col>8</xdr:col>
      <xdr:colOff>213360</xdr:colOff>
      <xdr:row>0</xdr:row>
      <xdr:rowOff>30480</xdr:rowOff>
    </xdr:from>
    <xdr:to>
      <xdr:col>8</xdr:col>
      <xdr:colOff>1221360</xdr:colOff>
      <xdr:row>1</xdr:row>
      <xdr:rowOff>110400</xdr:rowOff>
    </xdr:to>
    <xdr:sp macro="" textlink="">
      <xdr:nvSpPr>
        <xdr:cNvPr id="32" name="Прямоугольник с двумя вырезанными противолежащими углами 31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86791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FFFF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Ведомость</a:t>
          </a:r>
        </a:p>
      </xdr:txBody>
    </xdr:sp>
    <xdr:clientData/>
  </xdr:twoCellAnchor>
  <xdr:twoCellAnchor editAs="absolute">
    <xdr:from>
      <xdr:col>2</xdr:col>
      <xdr:colOff>0</xdr:colOff>
      <xdr:row>0</xdr:row>
      <xdr:rowOff>22860</xdr:rowOff>
    </xdr:from>
    <xdr:to>
      <xdr:col>2</xdr:col>
      <xdr:colOff>1008000</xdr:colOff>
      <xdr:row>1</xdr:row>
      <xdr:rowOff>102780</xdr:rowOff>
    </xdr:to>
    <xdr:sp macro="" textlink="">
      <xdr:nvSpPr>
        <xdr:cNvPr id="33" name="Прямоугольник с двумя вырезанными противолежащими углами 32">
          <a:hlinkClick xmlns:r="http://schemas.openxmlformats.org/officeDocument/2006/relationships" r:id="rId9"/>
        </xdr:cNvPr>
        <xdr:cNvSpPr>
          <a:spLocks/>
        </xdr:cNvSpPr>
      </xdr:nvSpPr>
      <xdr:spPr>
        <a:xfrm>
          <a:off x="1219200" y="2286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Главная</a:t>
          </a:r>
        </a:p>
      </xdr:txBody>
    </xdr:sp>
    <xdr:clientData/>
  </xdr:twoCellAnchor>
  <xdr:twoCellAnchor editAs="absolute">
    <xdr:from>
      <xdr:col>8</xdr:col>
      <xdr:colOff>1249680</xdr:colOff>
      <xdr:row>0</xdr:row>
      <xdr:rowOff>30480</xdr:rowOff>
    </xdr:from>
    <xdr:to>
      <xdr:col>11</xdr:col>
      <xdr:colOff>15240</xdr:colOff>
      <xdr:row>1</xdr:row>
      <xdr:rowOff>110400</xdr:rowOff>
    </xdr:to>
    <xdr:sp macro="" textlink="">
      <xdr:nvSpPr>
        <xdr:cNvPr id="59" name="Прямоугольник с двумя вырезанными противолежащими углами 58">
          <a:hlinkClick xmlns:r="http://schemas.openxmlformats.org/officeDocument/2006/relationships" r:id="rId10"/>
        </xdr:cNvPr>
        <xdr:cNvSpPr>
          <a:spLocks/>
        </xdr:cNvSpPr>
      </xdr:nvSpPr>
      <xdr:spPr>
        <a:xfrm>
          <a:off x="9715500" y="30480"/>
          <a:ext cx="13335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Ведомость-печать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38100</xdr:rowOff>
    </xdr:from>
    <xdr:to>
      <xdr:col>2</xdr:col>
      <xdr:colOff>268860</xdr:colOff>
      <xdr:row>4</xdr:row>
      <xdr:rowOff>125640</xdr:rowOff>
    </xdr:to>
    <xdr:sp macro="" textlink="">
      <xdr:nvSpPr>
        <xdr:cNvPr id="3" name="Прямоугольник с двумя вырезанными противолежащими углами 2">
          <a:hlinkClick xmlns:r="http://schemas.openxmlformats.org/officeDocument/2006/relationships" r:id="rId1"/>
        </xdr:cNvPr>
        <xdr:cNvSpPr>
          <a:spLocks/>
        </xdr:cNvSpPr>
      </xdr:nvSpPr>
      <xdr:spPr>
        <a:xfrm>
          <a:off x="739140" y="579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Ведомость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3" name="ГСМ" displayName="ГСМ" ref="C3:F20" headerRowDxfId="175" dataDxfId="173" totalsRowDxfId="171" headerRowBorderDxfId="174" tableBorderDxfId="172" totalsRowBorderDxfId="170">
  <autoFilter ref="C3:F20"/>
  <tableColumns count="4">
    <tableColumn id="1" name="Обозначение" totalsRowLabel="Итог" dataDxfId="169" totalsRowDxfId="168">
      <calculatedColumnFormula>IF(ГСМ[[#This Row],[Наименование]]="","",CONCATENATE(ГСМ[[#This Row],[Наименование]]," ",ГСМ[[#This Row],[Марка]],", ",ГСМ[[#This Row],[Ед.изм.]]))</calculatedColumnFormula>
    </tableColumn>
    <tableColumn id="5" name="Наименование" dataDxfId="167" totalsRowDxfId="166"/>
    <tableColumn id="2" name="Марка" totalsRowFunction="count" dataDxfId="165" totalsRowDxfId="164"/>
    <tableColumn id="3" name="Ед.изм." dataDxfId="163" totalsRowDxfId="16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Автомобили" displayName="Автомобили" ref="C3:E14" totalsRowCount="1" headerRowDxfId="161" dataDxfId="159" totalsRowDxfId="157" headerRowBorderDxfId="160" tableBorderDxfId="158" totalsRowBorderDxfId="156">
  <autoFilter ref="C3:E13"/>
  <sortState ref="C4:E7">
    <sortCondition ref="E3:E7"/>
  </sortState>
  <tableColumns count="3">
    <tableColumn id="1" name="Модель" totalsRowLabel="Итог" dataDxfId="155" totalsRowDxfId="2"/>
    <tableColumn id="2" name="Номер" totalsRowFunction="count" dataDxfId="154" totalsRowDxfId="1"/>
    <tableColumn id="3" name="Обозначение" dataDxfId="153" totalsRowDxfId="0">
      <calculatedColumnFormula>IF(AND(Автомобили[[#This Row],[Модель]]="",Автомобили[[#This Row],[Номер]]=""),"",IF(Автомобили[[#This Row],[Модель]]="",Автомобили[[#This Row],[Номер]],IF(Автомобили[[#This Row],[Номер]]="",Автомобили[[#This Row],[Модель]],CONCATENATE(Автомобили[[#This Row],[Модель]],", ",Автомобили[[#This Row],[Номер]]))))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Сотрудники" displayName="Сотрудники" ref="C3:F8" totalsRowCount="1" headerRowDxfId="152" dataDxfId="150" totalsRowDxfId="148" headerRowBorderDxfId="151" tableBorderDxfId="149" totalsRowBorderDxfId="147">
  <autoFilter ref="C3:F7"/>
  <sortState ref="C4:F6">
    <sortCondition ref="F3:F6"/>
  </sortState>
  <tableColumns count="4">
    <tableColumn id="1" name="Ф.И.О." totalsRowLabel="Итог" dataDxfId="146" totalsRowDxfId="145"/>
    <tableColumn id="2" name="Табельный номер" dataDxfId="144" totalsRowDxfId="143"/>
    <tableColumn id="3" name="Должность" totalsRowFunction="count" dataDxfId="142" totalsRowDxfId="141"/>
    <tableColumn id="4" name="Обозначение" dataDxfId="140" totalsRowDxfId="139">
      <calculatedColumnFormula>CONCATENATE(Сотрудники[[#This Row],[Ф.И.О.]],IF(Сотрудники[Табельный номер]="","",", "),Сотрудники[[#This Row],[Табельный номер]])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Приход" displayName="Приход" ref="C3:M10" totalsRowCount="1" headerRowDxfId="138" dataDxfId="136" totalsRowDxfId="134" headerRowBorderDxfId="137" tableBorderDxfId="135" totalsRowBorderDxfId="133">
  <autoFilter ref="C3:M9"/>
  <tableColumns count="11">
    <tableColumn id="1" name="Дата" totalsRowLabel="Итог" dataDxfId="132" totalsRowDxfId="131"/>
    <tableColumn id="2" name="ГСМ" totalsRowFunction="count" dataDxfId="130" totalsRowDxfId="129"/>
    <tableColumn id="3" name="Наименование" dataDxfId="128" totalsRowDxfId="127">
      <calculatedColumnFormula>IF(Приход[[#This Row],[ГСМ]]="","",LOOKUP(Приход[[#This Row],[ГСМ]],ГСМ[],ГСМ[Наименование]))</calculatedColumnFormula>
    </tableColumn>
    <tableColumn id="4" name="Марка" dataDxfId="126" totalsRowDxfId="125">
      <calculatedColumnFormula>IF(Приход[[#This Row],[ГСМ]]="","",LOOKUP(Приход[[#This Row],[ГСМ]],ГСМ[],ГСМ[Марка]))</calculatedColumnFormula>
    </tableColumn>
    <tableColumn id="5" name="Ед.изм." dataDxfId="124" totalsRowDxfId="123">
      <calculatedColumnFormula>IF(Приход[[#This Row],[ГСМ]]="","",LOOKUP(Приход[[#This Row],[ГСМ]],ГСМ[],ГСМ[Ед.изм.]))</calculatedColumnFormula>
    </tableColumn>
    <tableColumn id="6" name="Кол-во" totalsRowFunction="sum" dataDxfId="122" totalsRowDxfId="121"/>
    <tableColumn id="7" name="Цена" dataDxfId="120" totalsRowDxfId="119"/>
    <tableColumn id="8" name="Сумма" totalsRowFunction="sum" dataDxfId="118" totalsRowDxfId="117">
      <calculatedColumnFormula>IF(Приход[[#This Row],[Кол-во]]="","",Приход[[#This Row],[Кол-во]]*Приход[[#This Row],[Цена]])</calculatedColumnFormula>
    </tableColumn>
    <tableColumn id="11" name="Описание" dataDxfId="116" totalsRowDxfId="115"/>
    <tableColumn id="9" name="С" dataDxfId="114" totalsRowDxfId="113">
      <calculatedColumnFormula>IF(Приход[[#This Row],[Дата]]="","",'Оборотка-Склад'!$E$3-Приход[[#This Row],[Дата]])</calculatedColumnFormula>
    </tableColumn>
    <tableColumn id="10" name="По" dataDxfId="112" totalsRowDxfId="111">
      <calculatedColumnFormula>IF(Приход[[#This Row],[Дата]]="","",'Оборотка-Склад'!$G$3-Приход[[#This Row],[Дата]])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Расход" displayName="Расход" ref="C3:V17" totalsRowCount="1" headerRowDxfId="110" dataDxfId="108" totalsRowDxfId="106" headerRowBorderDxfId="109" tableBorderDxfId="107" totalsRowBorderDxfId="105">
  <autoFilter ref="C3:V16"/>
  <tableColumns count="20">
    <tableColumn id="1" name="Номер ведомости" totalsRowLabel="Итог" dataDxfId="104" totalsRowDxfId="103"/>
    <tableColumn id="2" name="Дата" dataDxfId="102" totalsRowDxfId="101">
      <calculatedColumnFormula>IF(Расход[[#This Row],[Номер ведомости]]="","",LOOKUP(Расход[[#This Row],[Номер ведомости]],Ведомость_реестр[],Ведомость_реестр[Дата]))</calculatedColumnFormula>
    </tableColumn>
    <tableColumn id="3" name="Автомобиль" dataDxfId="100" totalsRowDxfId="99"/>
    <tableColumn id="4" name="Модель" dataDxfId="98" totalsRowDxfId="97">
      <calculatedColumnFormula>IF(Расход[[#This Row],[Автомобиль]]="","",LOOKUP(Расход[[#This Row],[Автомобиль]],Автомобили[],Автомобили[Модель]))</calculatedColumnFormula>
    </tableColumn>
    <tableColumn id="5" name="Номер" dataDxfId="96" totalsRowDxfId="95">
      <calculatedColumnFormula>IF(Расход[[#This Row],[Автомобиль]]="","",LOOKUP(Расход[[#This Row],[Автомобиль]],Автомобили[],Автомобили[Номер]))</calculatedColumnFormula>
    </tableColumn>
    <tableColumn id="6" name="Номер путевого листа" dataDxfId="94" totalsRowDxfId="93"/>
    <tableColumn id="7" name="Сотрудник" dataDxfId="92" totalsRowDxfId="91"/>
    <tableColumn id="8" name="Ф.И.О." dataDxfId="90" totalsRowDxfId="89">
      <calculatedColumnFormula>IF(Расход[[#This Row],[Сотрудник]]="","",LOOKUP(Расход[[#This Row],[Сотрудник]],Сотрудники[],Сотрудники[Ф.И.О.]))</calculatedColumnFormula>
    </tableColumn>
    <tableColumn id="9" name="Табельный номер" dataDxfId="88" totalsRowDxfId="87">
      <calculatedColumnFormula>IF(Расход[[#This Row],[Сотрудник]]="","",LOOKUP(Расход[[#This Row],[Сотрудник]],Сотрудники[],Сотрудники[Табельный номер]))</calculatedColumnFormula>
    </tableColumn>
    <tableColumn id="18" name="Должность" dataDxfId="86" totalsRowDxfId="85">
      <calculatedColumnFormula>IF(Расход[[#This Row],[Сотрудник]]="","",LOOKUP(Расход[[#This Row],[Сотрудник]],Сотрудники[],Сотрудники[Должность]))</calculatedColumnFormula>
    </tableColumn>
    <tableColumn id="10" name="ГСМ" totalsRowFunction="count" dataDxfId="84" totalsRowDxfId="83"/>
    <tableColumn id="11" name="Наименование" dataDxfId="82" totalsRowDxfId="81">
      <calculatedColumnFormula>IF(Расход[[#This Row],[ГСМ]]="","",LOOKUP(Расход[[#This Row],[ГСМ]],ГСМ[],ГСМ[Обозначение]))</calculatedColumnFormula>
    </tableColumn>
    <tableColumn id="12" name="Марка" dataDxfId="80" totalsRowDxfId="79">
      <calculatedColumnFormula>IF(Расход[[#This Row],[ГСМ]]="","",LOOKUP(Расход[[#This Row],[ГСМ]],ГСМ[],ГСМ[Марка]))</calculatedColumnFormula>
    </tableColumn>
    <tableColumn id="13" name="Ед.изм." dataDxfId="78" totalsRowDxfId="77">
      <calculatedColumnFormula>IF(Расход[[#This Row],[ГСМ]]="","",LOOKUP(Расход[[#This Row],[ГСМ]],ГСМ[],ГСМ[Ед.изм.]))</calculatedColumnFormula>
    </tableColumn>
    <tableColumn id="14" name="Кол-во" totalsRowFunction="sum" dataDxfId="76" totalsRowDxfId="75"/>
    <tableColumn id="15" name="Цена" dataDxfId="74" totalsRowDxfId="73"/>
    <tableColumn id="16" name="Сумма" totalsRowFunction="sum" dataDxfId="72" totalsRowDxfId="71">
      <calculatedColumnFormula>IF(Расход[[#This Row],[Кол-во]]="","",Расход[[#This Row],[Кол-во]]*Расход[[#This Row],[Цена]])</calculatedColumnFormula>
    </tableColumn>
    <tableColumn id="17" name="Описание" dataDxfId="70" totalsRowDxfId="69"/>
    <tableColumn id="19" name="С" dataDxfId="68" totalsRowDxfId="67">
      <calculatedColumnFormula>IF(Расход[[#This Row],[Дата]]="","",'Оборотка-Склад'!$E$3-Расход[[#This Row],[Дата]])</calculatedColumnFormula>
    </tableColumn>
    <tableColumn id="20" name="По" dataDxfId="66" totalsRowDxfId="65">
      <calculatedColumnFormula>IF(Расход[[#This Row],[Дата]]="","",'Оборотка-Склад'!$G$3-Расход[[#This Row],[Дата]])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Оборотка" displayName="Оборотка" ref="C5:I19" totalsRowCount="1" headerRowDxfId="64" dataDxfId="62" totalsRowDxfId="60" headerRowBorderDxfId="63" tableBorderDxfId="61" totalsRowBorderDxfId="59">
  <autoFilter ref="C5:I18"/>
  <tableColumns count="7">
    <tableColumn id="1" name="ГСМ" totalsRowLabel="Итог" dataDxfId="58" totalsRowDxfId="57">
      <calculatedColumnFormula>IF(ГСМ!C4="","",ГСМ!C4)</calculatedColumnFormula>
    </tableColumn>
    <tableColumn id="2" name="Кол-во приход" totalsRowFunction="sum" dataDxfId="56" totalsRowDxfId="55">
      <calculatedColumnFormula>IF(Оборотка[ГСМ]="","",SUMIFS(Приход[Кол-во],Приход[ГСМ],Оборотка[[#This Row],[ГСМ]],Приход[С],"&lt;=0",Приход[По],"&gt;=0"))</calculatedColumnFormula>
    </tableColumn>
    <tableColumn id="3" name="Сумма приход" totalsRowFunction="sum" dataDxfId="54" totalsRowDxfId="53">
      <calculatedColumnFormula>IF(Оборотка[ГСМ]="","",SUMIFS(Приход[Сумма],Приход[ГСМ],Оборотка[[#This Row],[ГСМ]],Приход[С],"&lt;=0",Приход[По],"&gt;=0"))</calculatedColumnFormula>
    </tableColumn>
    <tableColumn id="4" name="Кол-во расход" totalsRowFunction="sum" dataDxfId="52" totalsRowDxfId="51">
      <calculatedColumnFormula>IF(Оборотка[ГСМ]="","",SUMIFS(Расход[Кол-во],Расход[ГСМ],Оборотка[[#This Row],[ГСМ]],Расход[С],"&lt;=0",Расход[По],"&gt;=0"))</calculatedColumnFormula>
    </tableColumn>
    <tableColumn id="5" name="Сумма расход" totalsRowFunction="sum" dataDxfId="50" totalsRowDxfId="49">
      <calculatedColumnFormula>IF(Оборотка[ГСМ]="","",SUMIFS(Расход[Сумма],Расход[ГСМ],Оборотка[[#This Row],[ГСМ]],Расход[С],"&lt;=0",Расход[По],"&gt;=0"))</calculatedColumnFormula>
    </tableColumn>
    <tableColumn id="6" name="Кол-во остаток" totalsRowFunction="sum" dataDxfId="48" totalsRowDxfId="47">
      <calculatedColumnFormula>IF(Оборотка[[#This Row],[ГСМ]]="","",Оборотка[[#This Row],[Кол-во приход]]-Оборотка[[#This Row],[Кол-во расход]])</calculatedColumnFormula>
    </tableColumn>
    <tableColumn id="7" name="Сумма остаток" totalsRowFunction="count" dataDxfId="46" totalsRowDxfId="45">
      <calculatedColumnFormula>IF(Оборотка[[#This Row],[ГСМ]]="","",Оборотка[[#This Row],[Сумма приход]]-Оборотка[[#This Row],[Сумма расход]])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Ведомость_реестр" displayName="Ведомость_реестр" ref="C3:I25" totalsRowCount="1" headerRowDxfId="44" dataDxfId="42" headerRowBorderDxfId="43" tableBorderDxfId="41" totalsRowBorderDxfId="40">
  <autoFilter ref="C3:I24"/>
  <tableColumns count="7">
    <tableColumn id="1" name="Номер" totalsRowLabel="Итог" dataDxfId="39" totalsRowDxfId="38"/>
    <tableColumn id="2" name="Дата" totalsRowFunction="count" dataDxfId="37" totalsRowDxfId="36"/>
    <tableColumn id="3" name="ГСМ" dataDxfId="35" totalsRowDxfId="34"/>
    <tableColumn id="4" name="Код вида" dataDxfId="33" totalsRowDxfId="32"/>
    <tableColumn id="5" name="Код марки" dataDxfId="31" totalsRowDxfId="30"/>
    <tableColumn id="6" name="Ответственный" dataDxfId="29" totalsRowDxfId="28"/>
    <tableColumn id="7" name="Табельный номер" dataDxfId="27" totalsRowDxfId="26">
      <calculatedColumnFormula>IF(Ведомость_реестр[[#This Row],[Ответственный]]="","",LOOKUP(Ведомость_реестр[[#This Row],[Ответственный]],Сотрудники[],Сотрудники[Табельный номер]))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9" name="Ведомость_выдача" displayName="Ведомость_выдача" ref="A32:I46" totalsRowCount="1" headerRowDxfId="25" dataDxfId="23" headerRowBorderDxfId="24" tableBorderDxfId="22" totalsRowBorderDxfId="21">
  <autoFilter ref="A32:I45"/>
  <tableColumns count="9">
    <tableColumn id="1" name="Автомобиль модель" totalsRowLabel="Итог" dataDxfId="20" totalsRowDxfId="19">
      <calculatedColumnFormula>Расход!F4</calculatedColumnFormula>
    </tableColumn>
    <tableColumn id="2" name="Автомобиль номер" dataDxfId="18" totalsRowDxfId="17">
      <calculatedColumnFormula>Расход!G4</calculatedColumnFormula>
    </tableColumn>
    <tableColumn id="3" name="Номер путевого листа" dataDxfId="16" totalsRowDxfId="15">
      <calculatedColumnFormula>IF(Расход!H4="","",Расход!H4)</calculatedColumnFormula>
    </tableColumn>
    <tableColumn id="4" name="Фамилия, имя, отчество" dataDxfId="14" totalsRowDxfId="13">
      <calculatedColumnFormula>Расход!J4</calculatedColumnFormula>
    </tableColumn>
    <tableColumn id="5" name="Табель-ный номер" dataDxfId="12" totalsRowDxfId="11">
      <calculatedColumnFormula>Расход!K4</calculatedColumnFormula>
    </tableColumn>
    <tableColumn id="6" name="Выдано цифрами" totalsRowFunction="sum" dataDxfId="10" totalsRowDxfId="9">
      <calculatedColumnFormula>IF(Расход!Q4="","",Расход!Q4)</calculatedColumnFormula>
    </tableColumn>
    <tableColumn id="7" name="Выдано прописью" dataDxfId="8" totalsRowDxfId="7"/>
    <tableColumn id="8" name="Расписка в получении" dataDxfId="6" totalsRowDxfId="5"/>
    <tableColumn id="9" name="Номер" dataDxfId="4" totalsRowDxfId="3">
      <calculatedColumnFormula>IF(Расход!C4="","",Расход!C4)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4.4" x14ac:dyDescent="0.3"/>
  <sheetData/>
  <sheetProtection password="CE28" sheet="1" objects="1" scenarios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5"/>
  <sheetViews>
    <sheetView showGridLines="0" showRowColHeaders="0" topLeftCell="A16" zoomScaleNormal="100" workbookViewId="0">
      <selection activeCell="A38" sqref="A38"/>
    </sheetView>
  </sheetViews>
  <sheetFormatPr defaultRowHeight="13.8" x14ac:dyDescent="0.3"/>
  <cols>
    <col min="1" max="2" width="10.77734375" style="68" customWidth="1"/>
    <col min="3" max="3" width="8.77734375" style="68" customWidth="1"/>
    <col min="4" max="4" width="20.77734375" style="68" customWidth="1"/>
    <col min="5" max="5" width="8.77734375" style="68" customWidth="1"/>
    <col min="6" max="6" width="10.77734375" style="68" customWidth="1"/>
    <col min="7" max="7" width="14.77734375" style="68" customWidth="1"/>
    <col min="8" max="8" width="12.77734375" style="68" customWidth="1"/>
    <col min="9" max="16384" width="8.88671875" style="68"/>
  </cols>
  <sheetData>
    <row r="1" spans="1:10" x14ac:dyDescent="0.3">
      <c r="A1" s="112" t="s">
        <v>107</v>
      </c>
      <c r="B1" s="112"/>
      <c r="C1" s="112"/>
      <c r="D1" s="112"/>
    </row>
    <row r="2" spans="1:10" s="70" customFormat="1" ht="14.4" thickBot="1" x14ac:dyDescent="0.35">
      <c r="B2" s="70" t="s">
        <v>4</v>
      </c>
      <c r="C2" s="89" t="s">
        <v>8</v>
      </c>
      <c r="D2" s="89" t="s">
        <v>5</v>
      </c>
      <c r="E2" s="89" t="s">
        <v>69</v>
      </c>
      <c r="F2" s="89" t="s">
        <v>70</v>
      </c>
      <c r="G2" s="89" t="s">
        <v>74</v>
      </c>
      <c r="H2" s="89" t="s">
        <v>75</v>
      </c>
    </row>
    <row r="3" spans="1:10" ht="14.4" thickBot="1" x14ac:dyDescent="0.35">
      <c r="A3" s="83"/>
      <c r="B3" s="84" t="s">
        <v>112</v>
      </c>
      <c r="C3" s="82">
        <f>IF($B$3="","",LOOKUP($B$3,Ведомость_реестр[],Ведомость_реестр[Дата]))</f>
        <v>45294</v>
      </c>
      <c r="D3" s="69" t="str">
        <f>IF($B$3="","",LOOKUP($B$3,Ведомость_реестр[],Ведомость_реестр[ГСМ]))</f>
        <v>Бензин АИ-92-К5, л</v>
      </c>
      <c r="E3" s="88" t="str">
        <f>IF($B$3="","",LOOKUP($B$3,Ведомость_реестр[],Ведомость_реестр[Код вида]))</f>
        <v>04</v>
      </c>
      <c r="F3" s="88" t="str">
        <f>IF($B$3="","",LOOKUP($B$3,Ведомость_реестр[],Ведомость_реестр[Код марки]))</f>
        <v>02</v>
      </c>
      <c r="G3" s="69" t="str">
        <f>IF($B$3="","",LOOKUP($B$3,Ведомость_реестр[],Ведомость_реестр[Ответственный]))</f>
        <v>Сидоров М.И.</v>
      </c>
      <c r="H3" s="88" t="str">
        <f>IF($B$3="","",LOOKUP($B$3,Ведомость_реестр[],Ведомость_реестр[Табельный номер]))</f>
        <v>3212</v>
      </c>
      <c r="J3" s="95"/>
    </row>
    <row r="4" spans="1:10" x14ac:dyDescent="0.3">
      <c r="A4" s="83"/>
      <c r="B4" s="87"/>
      <c r="C4" s="85"/>
      <c r="D4" s="86"/>
      <c r="E4" s="86"/>
      <c r="F4" s="86"/>
      <c r="G4" s="86"/>
      <c r="H4" s="86"/>
    </row>
    <row r="5" spans="1:10" x14ac:dyDescent="0.3">
      <c r="A5" s="83"/>
      <c r="B5" s="87"/>
      <c r="C5" s="85"/>
      <c r="D5" s="90"/>
      <c r="E5" s="90"/>
      <c r="F5" s="90"/>
      <c r="G5" s="90"/>
      <c r="H5" s="90"/>
    </row>
    <row r="6" spans="1:10" x14ac:dyDescent="0.3">
      <c r="A6" s="83"/>
      <c r="B6" s="87"/>
      <c r="C6" s="85"/>
      <c r="D6" s="90"/>
      <c r="E6" s="90"/>
      <c r="F6" s="90"/>
      <c r="G6" s="99" t="s">
        <v>77</v>
      </c>
      <c r="H6" s="90"/>
    </row>
    <row r="7" spans="1:10" x14ac:dyDescent="0.3">
      <c r="A7" s="83"/>
      <c r="B7" s="87"/>
      <c r="C7" s="85"/>
      <c r="D7" s="90"/>
      <c r="E7" s="90"/>
      <c r="F7" s="90"/>
      <c r="G7" s="99" t="s">
        <v>78</v>
      </c>
      <c r="H7" s="90"/>
    </row>
    <row r="8" spans="1:10" x14ac:dyDescent="0.3">
      <c r="A8" s="83"/>
      <c r="B8" s="87"/>
      <c r="C8" s="85"/>
      <c r="D8" s="90"/>
      <c r="E8" s="90"/>
      <c r="F8" s="90"/>
      <c r="G8" s="99" t="s">
        <v>79</v>
      </c>
      <c r="H8" s="90"/>
    </row>
    <row r="9" spans="1:10" x14ac:dyDescent="0.3">
      <c r="A9" s="83"/>
      <c r="B9" s="87"/>
      <c r="C9" s="85"/>
      <c r="D9" s="90"/>
      <c r="E9" s="90"/>
      <c r="F9" s="90"/>
      <c r="G9" s="99" t="s">
        <v>76</v>
      </c>
      <c r="H9" s="98"/>
    </row>
    <row r="10" spans="1:10" x14ac:dyDescent="0.3">
      <c r="A10" s="83"/>
      <c r="B10" s="87"/>
      <c r="C10" s="85"/>
      <c r="D10" s="97"/>
      <c r="E10" s="97"/>
      <c r="F10" s="97"/>
      <c r="G10" s="99" t="s">
        <v>110</v>
      </c>
      <c r="H10" s="98"/>
    </row>
    <row r="11" spans="1:10" x14ac:dyDescent="0.3">
      <c r="A11" s="83"/>
      <c r="B11" s="87"/>
      <c r="C11" s="85"/>
      <c r="D11" s="90"/>
      <c r="E11" s="90"/>
      <c r="F11" s="90"/>
      <c r="G11" s="100" t="s">
        <v>80</v>
      </c>
      <c r="H11" s="90"/>
    </row>
    <row r="12" spans="1:10" x14ac:dyDescent="0.3">
      <c r="A12" s="83"/>
      <c r="B12" s="87"/>
      <c r="C12" s="85"/>
      <c r="D12" s="90"/>
      <c r="E12" s="90"/>
      <c r="F12" s="90"/>
      <c r="G12" s="90"/>
      <c r="H12" s="90"/>
    </row>
    <row r="13" spans="1:10" ht="14.4" x14ac:dyDescent="0.3">
      <c r="A13" s="83"/>
      <c r="B13" s="190" t="s">
        <v>109</v>
      </c>
      <c r="C13" s="135"/>
      <c r="D13" s="135"/>
      <c r="E13" s="135"/>
      <c r="F13" s="135"/>
      <c r="G13" s="135"/>
      <c r="H13" s="90"/>
    </row>
    <row r="14" spans="1:10" ht="14.4" x14ac:dyDescent="0.3">
      <c r="A14" s="83"/>
      <c r="B14" s="188" t="s">
        <v>81</v>
      </c>
      <c r="C14" s="189"/>
      <c r="D14" s="189"/>
      <c r="E14" s="189"/>
      <c r="F14" s="189"/>
      <c r="G14" s="189"/>
      <c r="H14" s="90"/>
    </row>
    <row r="15" spans="1:10" x14ac:dyDescent="0.3">
      <c r="A15" s="83"/>
      <c r="B15" s="87"/>
      <c r="C15" s="85"/>
      <c r="D15" s="86"/>
      <c r="E15" s="86"/>
      <c r="F15" s="86"/>
      <c r="G15" s="86"/>
      <c r="H15" s="86"/>
    </row>
    <row r="16" spans="1:10" x14ac:dyDescent="0.3">
      <c r="A16" s="83"/>
      <c r="B16" s="87"/>
      <c r="C16" s="85"/>
      <c r="D16" s="94" t="s">
        <v>108</v>
      </c>
      <c r="E16" s="96" t="str">
        <f>$B$3</f>
        <v>002</v>
      </c>
      <c r="F16" s="86"/>
      <c r="G16" s="86"/>
      <c r="H16" s="86"/>
    </row>
    <row r="17" spans="1:12" x14ac:dyDescent="0.3">
      <c r="A17" s="83"/>
      <c r="B17" s="87"/>
      <c r="C17" s="85"/>
      <c r="D17" s="86"/>
      <c r="E17" s="86"/>
      <c r="F17" s="86"/>
      <c r="G17" s="86"/>
      <c r="H17" s="86"/>
    </row>
    <row r="18" spans="1:12" ht="14.4" x14ac:dyDescent="0.3">
      <c r="A18" s="83"/>
      <c r="B18" s="92"/>
      <c r="C18" s="93" t="s">
        <v>85</v>
      </c>
      <c r="D18" s="186" t="str">
        <f>$D$3</f>
        <v>Бензин АИ-92-К5, л</v>
      </c>
      <c r="E18" s="156"/>
      <c r="F18" s="156"/>
      <c r="G18" s="86"/>
      <c r="H18" s="86"/>
    </row>
    <row r="19" spans="1:12" ht="14.4" x14ac:dyDescent="0.3">
      <c r="A19" s="83"/>
      <c r="B19" s="87"/>
      <c r="C19" s="85"/>
      <c r="D19" s="191" t="s">
        <v>84</v>
      </c>
      <c r="E19" s="192"/>
      <c r="F19" s="192"/>
      <c r="G19" s="86"/>
      <c r="H19" s="86"/>
    </row>
    <row r="20" spans="1:12" x14ac:dyDescent="0.3">
      <c r="A20" s="83"/>
      <c r="B20" s="87"/>
      <c r="C20" s="85"/>
      <c r="D20" s="86"/>
      <c r="E20" s="86"/>
      <c r="F20" s="86"/>
      <c r="G20" s="86"/>
      <c r="H20" s="86"/>
    </row>
    <row r="21" spans="1:12" x14ac:dyDescent="0.3">
      <c r="A21" s="83"/>
      <c r="B21" s="87"/>
      <c r="C21" s="85"/>
      <c r="D21" s="102">
        <f>$C$3</f>
        <v>45294</v>
      </c>
      <c r="E21" s="86"/>
      <c r="F21" s="86"/>
      <c r="G21" s="86"/>
      <c r="H21" s="86"/>
    </row>
    <row r="22" spans="1:12" x14ac:dyDescent="0.3">
      <c r="A22" s="83"/>
      <c r="B22" s="87"/>
      <c r="C22" s="85"/>
      <c r="D22" s="86"/>
      <c r="E22" s="86"/>
      <c r="F22" s="86"/>
      <c r="G22" s="86"/>
      <c r="H22" s="86"/>
      <c r="L22" s="95"/>
    </row>
    <row r="23" spans="1:12" x14ac:dyDescent="0.3">
      <c r="A23" s="83"/>
      <c r="B23" s="87"/>
      <c r="C23" s="85"/>
      <c r="D23" s="86"/>
      <c r="E23" s="86"/>
      <c r="F23" s="86"/>
      <c r="G23" s="196" t="s">
        <v>86</v>
      </c>
      <c r="H23" s="193" t="str">
        <f>$E$3</f>
        <v>04</v>
      </c>
    </row>
    <row r="24" spans="1:12" x14ac:dyDescent="0.3">
      <c r="A24" s="83"/>
      <c r="B24" s="87"/>
      <c r="C24" s="85"/>
      <c r="D24" s="86"/>
      <c r="E24" s="86"/>
      <c r="F24" s="86"/>
      <c r="G24" s="181"/>
      <c r="H24" s="194"/>
    </row>
    <row r="25" spans="1:12" x14ac:dyDescent="0.3">
      <c r="A25" s="83"/>
      <c r="B25" s="87"/>
      <c r="C25" s="85"/>
      <c r="D25" s="86"/>
      <c r="E25" s="86"/>
      <c r="F25" s="86"/>
      <c r="G25" s="86"/>
      <c r="H25" s="86"/>
    </row>
    <row r="26" spans="1:12" x14ac:dyDescent="0.3">
      <c r="A26" s="83"/>
      <c r="B26" s="87"/>
      <c r="C26" s="85"/>
      <c r="D26" s="86"/>
      <c r="E26" s="86"/>
      <c r="F26" s="86"/>
      <c r="G26" s="197" t="s">
        <v>70</v>
      </c>
      <c r="H26" s="193" t="str">
        <f>$F$3</f>
        <v>02</v>
      </c>
    </row>
    <row r="27" spans="1:12" ht="13.8" customHeight="1" x14ac:dyDescent="0.3">
      <c r="A27" s="83"/>
      <c r="B27" s="85"/>
      <c r="C27" s="86"/>
      <c r="D27" s="86"/>
      <c r="E27" s="86"/>
      <c r="F27" s="91"/>
      <c r="G27" s="198"/>
      <c r="H27" s="195"/>
    </row>
    <row r="28" spans="1:12" x14ac:dyDescent="0.3">
      <c r="A28" s="101" t="s">
        <v>87</v>
      </c>
      <c r="B28" s="85"/>
      <c r="C28" s="86"/>
      <c r="D28" s="86"/>
      <c r="E28" s="86"/>
      <c r="F28" s="86"/>
      <c r="G28" s="86"/>
    </row>
    <row r="29" spans="1:12" ht="14.4" x14ac:dyDescent="0.3">
      <c r="A29" s="68" t="s">
        <v>88</v>
      </c>
      <c r="B29" s="199" t="str">
        <f>$G$3</f>
        <v>Сидоров М.И.</v>
      </c>
      <c r="C29" s="183"/>
      <c r="G29" s="196" t="s">
        <v>0</v>
      </c>
      <c r="H29" s="193" t="str">
        <f>$H$3</f>
        <v>3212</v>
      </c>
    </row>
    <row r="30" spans="1:12" x14ac:dyDescent="0.3">
      <c r="G30" s="181"/>
      <c r="H30" s="194"/>
    </row>
    <row r="32" spans="1:12" s="70" customFormat="1" ht="41.4" x14ac:dyDescent="0.3">
      <c r="A32" s="71" t="s">
        <v>105</v>
      </c>
      <c r="B32" s="72" t="s">
        <v>106</v>
      </c>
      <c r="C32" s="72" t="s">
        <v>9</v>
      </c>
      <c r="D32" s="72" t="s">
        <v>93</v>
      </c>
      <c r="E32" s="72" t="s">
        <v>92</v>
      </c>
      <c r="F32" s="72" t="s">
        <v>103</v>
      </c>
      <c r="G32" s="72" t="s">
        <v>104</v>
      </c>
      <c r="H32" s="73" t="s">
        <v>95</v>
      </c>
      <c r="I32" s="72" t="s">
        <v>4</v>
      </c>
    </row>
    <row r="33" spans="1:9" x14ac:dyDescent="0.3">
      <c r="A33" s="75" t="str">
        <f>Расход!F4</f>
        <v>Волга 31105</v>
      </c>
      <c r="B33" s="74" t="str">
        <f>Расход!G4</f>
        <v>Р442ММ 98</v>
      </c>
      <c r="C33" s="74" t="str">
        <f>IF(Расход!H4="","",Расход!H4)</f>
        <v>ПЛ015</v>
      </c>
      <c r="D33" s="74" t="str">
        <f>Расход!J4</f>
        <v>Петров А.Ф.</v>
      </c>
      <c r="E33" s="74" t="str">
        <f>Расход!K4</f>
        <v>4573</v>
      </c>
      <c r="F33" s="80">
        <f>IF(Расход!Q4="","",Расход!Q4)</f>
        <v>100</v>
      </c>
      <c r="G33" s="74"/>
      <c r="H33" s="76"/>
      <c r="I33" s="108" t="str">
        <f>IF(Расход!C4="","",Расход!C4)</f>
        <v>001</v>
      </c>
    </row>
    <row r="34" spans="1:9" x14ac:dyDescent="0.3">
      <c r="A34" s="75" t="str">
        <f>Расход!F5</f>
        <v>Волга С40</v>
      </c>
      <c r="B34" s="74" t="str">
        <f>Расход!G5</f>
        <v>Р221РВ 178</v>
      </c>
      <c r="C34" s="74" t="str">
        <f>IF(Расход!H5="","",Расход!H5)</f>
        <v>ПЛ016</v>
      </c>
      <c r="D34" s="74" t="str">
        <f>Расход!J5</f>
        <v>Иванов С.Н.</v>
      </c>
      <c r="E34" s="74" t="str">
        <f>Расход!K5</f>
        <v>0115</v>
      </c>
      <c r="F34" s="80">
        <f>IF(Расход!Q5="","",Расход!Q5)</f>
        <v>60</v>
      </c>
      <c r="G34" s="74"/>
      <c r="H34" s="76"/>
      <c r="I34" s="108" t="str">
        <f>IF(Расход!C5="","",Расход!C5)</f>
        <v>001</v>
      </c>
    </row>
    <row r="35" spans="1:9" x14ac:dyDescent="0.3">
      <c r="A35" s="75" t="str">
        <f>Расход!F6</f>
        <v/>
      </c>
      <c r="B35" s="74" t="str">
        <f>Расход!G6</f>
        <v/>
      </c>
      <c r="C35" s="74" t="str">
        <f>IF(Расход!H6="","",Расход!H6)</f>
        <v/>
      </c>
      <c r="D35" s="74" t="str">
        <f>Расход!J6</f>
        <v/>
      </c>
      <c r="E35" s="74" t="str">
        <f>Расход!K6</f>
        <v/>
      </c>
      <c r="F35" s="80" t="str">
        <f>IF(Расход!Q6="","",Расход!Q6)</f>
        <v/>
      </c>
      <c r="G35" s="74"/>
      <c r="H35" s="76"/>
      <c r="I35" s="108" t="str">
        <f>IF(Расход!C6="","",Расход!C6)</f>
        <v/>
      </c>
    </row>
    <row r="36" spans="1:9" x14ac:dyDescent="0.3">
      <c r="A36" s="75" t="str">
        <f>Расход!F7</f>
        <v/>
      </c>
      <c r="B36" s="74" t="str">
        <f>Расход!G7</f>
        <v/>
      </c>
      <c r="C36" s="74" t="str">
        <f>IF(Расход!H7="","",Расход!H7)</f>
        <v/>
      </c>
      <c r="D36" s="74" t="str">
        <f>Расход!J7</f>
        <v/>
      </c>
      <c r="E36" s="74" t="str">
        <f>Расход!K7</f>
        <v/>
      </c>
      <c r="F36" s="80" t="str">
        <f>IF(Расход!Q7="","",Расход!Q7)</f>
        <v/>
      </c>
      <c r="G36" s="74"/>
      <c r="H36" s="76"/>
      <c r="I36" s="108" t="str">
        <f>IF(Расход!C7="","",Расход!C7)</f>
        <v/>
      </c>
    </row>
    <row r="37" spans="1:9" x14ac:dyDescent="0.3">
      <c r="A37" s="75" t="str">
        <f>Расход!F8</f>
        <v/>
      </c>
      <c r="B37" s="74" t="str">
        <f>Расход!G8</f>
        <v/>
      </c>
      <c r="C37" s="74" t="str">
        <f>IF(Расход!H8="","",Расход!H8)</f>
        <v/>
      </c>
      <c r="D37" s="74" t="str">
        <f>Расход!J8</f>
        <v/>
      </c>
      <c r="E37" s="74" t="str">
        <f>Расход!K8</f>
        <v/>
      </c>
      <c r="F37" s="80" t="str">
        <f>IF(Расход!Q8="","",Расход!Q8)</f>
        <v/>
      </c>
      <c r="G37" s="74"/>
      <c r="H37" s="76"/>
      <c r="I37" s="108" t="str">
        <f>IF(Расход!C8="","",Расход!C8)</f>
        <v/>
      </c>
    </row>
    <row r="38" spans="1:9" x14ac:dyDescent="0.3">
      <c r="A38" s="75" t="str">
        <f>Расход!F9</f>
        <v/>
      </c>
      <c r="B38" s="74" t="str">
        <f>Расход!G9</f>
        <v/>
      </c>
      <c r="C38" s="74" t="str">
        <f>IF(Расход!H9="","",Расход!H9)</f>
        <v/>
      </c>
      <c r="D38" s="74" t="str">
        <f>Расход!J9</f>
        <v/>
      </c>
      <c r="E38" s="74" t="str">
        <f>Расход!K9</f>
        <v/>
      </c>
      <c r="F38" s="80" t="str">
        <f>IF(Расход!Q9="","",Расход!Q9)</f>
        <v/>
      </c>
      <c r="G38" s="78"/>
      <c r="H38" s="79"/>
      <c r="I38" s="108" t="str">
        <f>IF(Расход!C9="","",Расход!C9)</f>
        <v/>
      </c>
    </row>
    <row r="39" spans="1:9" x14ac:dyDescent="0.3">
      <c r="A39" s="75" t="str">
        <f>Расход!F10</f>
        <v/>
      </c>
      <c r="B39" s="74" t="str">
        <f>Расход!G10</f>
        <v/>
      </c>
      <c r="C39" s="74" t="str">
        <f>IF(Расход!H10="","",Расход!H10)</f>
        <v/>
      </c>
      <c r="D39" s="74" t="str">
        <f>Расход!J10</f>
        <v/>
      </c>
      <c r="E39" s="74" t="str">
        <f>Расход!K10</f>
        <v/>
      </c>
      <c r="F39" s="80" t="str">
        <f>IF(Расход!Q10="","",Расход!Q10)</f>
        <v/>
      </c>
      <c r="G39" s="74"/>
      <c r="H39" s="76"/>
      <c r="I39" s="108" t="str">
        <f>IF(Расход!C10="","",Расход!C10)</f>
        <v/>
      </c>
    </row>
    <row r="40" spans="1:9" x14ac:dyDescent="0.3">
      <c r="A40" s="75" t="str">
        <f>Расход!F11</f>
        <v/>
      </c>
      <c r="B40" s="74" t="str">
        <f>Расход!G11</f>
        <v/>
      </c>
      <c r="C40" s="74" t="str">
        <f>IF(Расход!H11="","",Расход!H11)</f>
        <v/>
      </c>
      <c r="D40" s="74" t="str">
        <f>Расход!J11</f>
        <v/>
      </c>
      <c r="E40" s="74" t="str">
        <f>Расход!K11</f>
        <v/>
      </c>
      <c r="F40" s="80" t="str">
        <f>IF(Расход!Q11="","",Расход!Q11)</f>
        <v/>
      </c>
      <c r="G40" s="74"/>
      <c r="H40" s="76"/>
      <c r="I40" s="108" t="str">
        <f>IF(Расход!C11="","",Расход!C11)</f>
        <v/>
      </c>
    </row>
    <row r="41" spans="1:9" x14ac:dyDescent="0.3">
      <c r="A41" s="75" t="str">
        <f>Расход!F12</f>
        <v/>
      </c>
      <c r="B41" s="74" t="str">
        <f>Расход!G12</f>
        <v/>
      </c>
      <c r="C41" s="74" t="str">
        <f>IF(Расход!H12="","",Расход!H12)</f>
        <v/>
      </c>
      <c r="D41" s="74" t="str">
        <f>Расход!J12</f>
        <v/>
      </c>
      <c r="E41" s="74" t="str">
        <f>Расход!K12</f>
        <v/>
      </c>
      <c r="F41" s="80" t="str">
        <f>IF(Расход!Q12="","",Расход!Q12)</f>
        <v/>
      </c>
      <c r="G41" s="74"/>
      <c r="H41" s="76"/>
      <c r="I41" s="108" t="str">
        <f>IF(Расход!C12="","",Расход!C12)</f>
        <v/>
      </c>
    </row>
    <row r="42" spans="1:9" x14ac:dyDescent="0.3">
      <c r="A42" s="75" t="str">
        <f>Расход!F13</f>
        <v/>
      </c>
      <c r="B42" s="74" t="str">
        <f>Расход!G13</f>
        <v/>
      </c>
      <c r="C42" s="74" t="str">
        <f>IF(Расход!H13="","",Расход!H13)</f>
        <v/>
      </c>
      <c r="D42" s="74" t="str">
        <f>Расход!J13</f>
        <v/>
      </c>
      <c r="E42" s="74" t="str">
        <f>Расход!K13</f>
        <v/>
      </c>
      <c r="F42" s="80" t="str">
        <f>IF(Расход!Q13="","",Расход!Q13)</f>
        <v/>
      </c>
      <c r="G42" s="74"/>
      <c r="H42" s="76"/>
      <c r="I42" s="108" t="str">
        <f>IF(Расход!C13="","",Расход!C13)</f>
        <v/>
      </c>
    </row>
    <row r="43" spans="1:9" x14ac:dyDescent="0.3">
      <c r="A43" s="75" t="str">
        <f>Расход!F14</f>
        <v/>
      </c>
      <c r="B43" s="74" t="str">
        <f>Расход!G14</f>
        <v/>
      </c>
      <c r="C43" s="74" t="str">
        <f>IF(Расход!H14="","",Расход!H14)</f>
        <v/>
      </c>
      <c r="D43" s="74" t="str">
        <f>Расход!J14</f>
        <v/>
      </c>
      <c r="E43" s="74" t="str">
        <f>Расход!K14</f>
        <v/>
      </c>
      <c r="F43" s="80" t="str">
        <f>IF(Расход!Q14="","",Расход!Q14)</f>
        <v/>
      </c>
      <c r="G43" s="74"/>
      <c r="H43" s="76"/>
      <c r="I43" s="108" t="str">
        <f>IF(Расход!C14="","",Расход!C14)</f>
        <v/>
      </c>
    </row>
    <row r="44" spans="1:9" x14ac:dyDescent="0.3">
      <c r="A44" s="75" t="str">
        <f>Расход!F15</f>
        <v/>
      </c>
      <c r="B44" s="74" t="str">
        <f>Расход!G15</f>
        <v/>
      </c>
      <c r="C44" s="74" t="str">
        <f>IF(Расход!H15="","",Расход!H15)</f>
        <v/>
      </c>
      <c r="D44" s="74" t="str">
        <f>Расход!J15</f>
        <v/>
      </c>
      <c r="E44" s="74" t="str">
        <f>Расход!K15</f>
        <v/>
      </c>
      <c r="F44" s="80" t="str">
        <f>IF(Расход!Q15="","",Расход!Q15)</f>
        <v/>
      </c>
      <c r="G44" s="74"/>
      <c r="H44" s="76"/>
      <c r="I44" s="108" t="str">
        <f>IF(Расход!C15="","",Расход!C15)</f>
        <v/>
      </c>
    </row>
    <row r="45" spans="1:9" x14ac:dyDescent="0.3">
      <c r="A45" s="75" t="str">
        <f>Расход!F16</f>
        <v/>
      </c>
      <c r="B45" s="74" t="str">
        <f>Расход!G16</f>
        <v/>
      </c>
      <c r="C45" s="74" t="str">
        <f>IF(Расход!H16="","",Расход!H16)</f>
        <v/>
      </c>
      <c r="D45" s="74" t="str">
        <f>Расход!J16</f>
        <v/>
      </c>
      <c r="E45" s="74" t="str">
        <f>Расход!K16</f>
        <v/>
      </c>
      <c r="F45" s="80" t="str">
        <f>IF(Расход!Q16="","",Расход!Q16)</f>
        <v/>
      </c>
      <c r="G45" s="78"/>
      <c r="H45" s="79"/>
      <c r="I45" s="108" t="str">
        <f>IF(Расход!C16="","",Расход!C16)</f>
        <v/>
      </c>
    </row>
    <row r="46" spans="1:9" x14ac:dyDescent="0.3">
      <c r="A46" s="77" t="s">
        <v>14</v>
      </c>
      <c r="B46" s="78"/>
      <c r="C46" s="78"/>
      <c r="D46" s="78"/>
      <c r="E46" s="78"/>
      <c r="F46" s="81">
        <f>SUBTOTAL(109,Ведомость_выдача[Выдано цифрами])</f>
        <v>160</v>
      </c>
      <c r="G46" s="78"/>
      <c r="H46" s="79"/>
      <c r="I46" s="78"/>
    </row>
    <row r="48" spans="1:9" ht="14.4" x14ac:dyDescent="0.3">
      <c r="A48" s="68" t="s">
        <v>96</v>
      </c>
      <c r="C48" s="103" t="str">
        <f>$B$3</f>
        <v>002</v>
      </c>
      <c r="D48" s="70" t="s">
        <v>97</v>
      </c>
      <c r="E48" s="186" t="str">
        <f>$D$3</f>
        <v>Бензин АИ-92-К5, л</v>
      </c>
      <c r="F48" s="156"/>
      <c r="G48" s="156"/>
      <c r="H48" s="156"/>
    </row>
    <row r="49" spans="1:8" ht="14.4" x14ac:dyDescent="0.3">
      <c r="E49" s="185" t="s">
        <v>111</v>
      </c>
      <c r="F49" s="129"/>
      <c r="G49" s="129"/>
      <c r="H49" s="129"/>
    </row>
    <row r="51" spans="1:8" ht="14.4" x14ac:dyDescent="0.3">
      <c r="A51" s="186" t="str">
        <f>SUBSTITUTE(SUBSTITUTE(SUBSTITUTE(TRIM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IF(LEN(INT(Ведомость_выдача[[#Totals],[Выдано цифрами]]))&gt;6,ROMAN(MID(INT(Ведомость_выдача[[#Totals],[Выдано цифрами]]),1,LEN(INT(Ведомость_выдача[[#Totals],[Выдано цифрами]]))-6)+0)&amp;" миллионов "&amp;ROMAN(MID(INT(Ведомость_выдача[[#Totals],[Выдано цифрами]]),LEN(INT(Ведомость_выдача[[#Totals],[Выдано цифрами]]))-5,3)+0)&amp;" тысяч "&amp;ROMAN(MID(INT(Ведомость_выдача[[#Totals],[Выдано цифрами]]),LEN(INT(Ведомость_выдача[[#Totals],[Выдано цифрами]]))-2,3)+0),IF(LEN(INT(Ведомость_выдача[[#Totals],[Выдано цифрами]]))&gt;3,ROMAN(MID(INT(Ведомость_выдача[[#Totals],[Выдано цифрами]]),1,LEN(INT(Ведомость_выдача[[#Totals],[Выдано цифрами]]))-3)+0)&amp;" тысяч "&amp;ROMAN(MID(INT(Ведомость_выдача[[#Totals],[Выдано цифрами]]),LEN(INT(Ведомость_выдача[[#Totals],[Выдано цифрами]]))-2,3)+0),ROMAN(INT(Ведомость_выдача[[#Totals],[Выдано цифрами]])))),"DCCC"," восемьсот"),"DCC"," семьсот"),"DC"," шестьсот"),"CD"," четыреста"),"XC"," девяносто"),"CCC"," триста"),"CC"," двести"),"D"," пятьсот"),"CM"," девятьсот"),"C"," сто"),"XL"," сорок"),"LXXX"," восемьдесят"),"LXX"," семьдесят"),"LX"," шестьдесят"),"L"," пятьдесят"),"XXX"," тридцать"),"XX"," двадцать"),"XIX"," девятнадцать"),"XVIII"," восемнадцать"),"XVII"," семнадцать"),"XVI"," шестнадцать"),"XV"," пятнадцать"),"XIV"," четырнадцать"),"XIII"," тринадцать"),"XII"," двенадцать"),"XI"," одиннадцать"),"IX"," девять"),"X"," десять"),"VIII"," восемь"),"VII"," семь"),"VI"," шесть"),"IV"," четыре"),"V"," пять"),"III"," три"),"II"," два"),"I"," один"),"один тысяч","одна тысяча"),"два тысяч","две тысячи"),"три тысяч","три тысячи"),"четыре тысяч","четыре тысячи"),"один миллионов","один миллион"),"два миллионов","два миллиона"),"три миллионов","три миллиона"),"четыре миллионов","четыре миллиона")),"миллион тысяч","миллион"),"миллиона тысяч","миллиона"),"миллионов тысяч","миллионов")</f>
        <v>сто шестьдесят</v>
      </c>
      <c r="B51" s="156"/>
      <c r="C51" s="156"/>
      <c r="D51" s="156"/>
      <c r="E51" s="156"/>
      <c r="F51" s="156"/>
      <c r="G51" s="156"/>
      <c r="H51" s="156"/>
    </row>
    <row r="52" spans="1:8" ht="14.4" x14ac:dyDescent="0.3">
      <c r="A52" s="185" t="s">
        <v>99</v>
      </c>
      <c r="B52" s="129"/>
      <c r="C52" s="129"/>
      <c r="D52" s="129"/>
      <c r="E52" s="129"/>
      <c r="F52" s="129"/>
      <c r="G52" s="129"/>
      <c r="H52" s="129"/>
    </row>
    <row r="54" spans="1:8" ht="14.4" x14ac:dyDescent="0.3">
      <c r="A54" s="68" t="s">
        <v>100</v>
      </c>
      <c r="C54" s="187"/>
      <c r="D54" s="135"/>
      <c r="E54" s="83" t="s">
        <v>101</v>
      </c>
      <c r="F54" s="187"/>
      <c r="G54" s="135"/>
      <c r="H54" s="135"/>
    </row>
    <row r="55" spans="1:8" ht="14.4" x14ac:dyDescent="0.3">
      <c r="C55" s="185" t="s">
        <v>102</v>
      </c>
      <c r="D55" s="129"/>
      <c r="F55" s="185" t="s">
        <v>102</v>
      </c>
      <c r="G55" s="129"/>
      <c r="H55" s="129"/>
    </row>
  </sheetData>
  <mergeCells count="19">
    <mergeCell ref="B14:G14"/>
    <mergeCell ref="B13:G13"/>
    <mergeCell ref="D19:F19"/>
    <mergeCell ref="D18:F18"/>
    <mergeCell ref="H29:H30"/>
    <mergeCell ref="H26:H27"/>
    <mergeCell ref="H23:H24"/>
    <mergeCell ref="G23:G24"/>
    <mergeCell ref="G26:G27"/>
    <mergeCell ref="G29:G30"/>
    <mergeCell ref="B29:C29"/>
    <mergeCell ref="C55:D55"/>
    <mergeCell ref="F55:H55"/>
    <mergeCell ref="E48:H48"/>
    <mergeCell ref="E49:H49"/>
    <mergeCell ref="A51:H51"/>
    <mergeCell ref="A52:H52"/>
    <mergeCell ref="C54:D54"/>
    <mergeCell ref="F54:H54"/>
  </mergeCells>
  <dataValidations count="1">
    <dataValidation type="list" allowBlank="1" showInputMessage="1" showErrorMessage="1" prompt="Выберите вариант из списка" sqref="B3">
      <formula1>INDIRECT("Ведомость_реестр[Номер]")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r:id="rId1"/>
  <headerFooter>
    <oddFooter>Страница  &amp;P из &amp;N</oddFoot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showRowColHeaders="0" workbookViewId="0">
      <pane ySplit="3" topLeftCell="A4" activePane="bottomLeft" state="frozen"/>
      <selection pane="bottomLeft" activeCell="C13" sqref="C13"/>
    </sheetView>
  </sheetViews>
  <sheetFormatPr defaultRowHeight="13.2" x14ac:dyDescent="0.3"/>
  <cols>
    <col min="1" max="2" width="8.88671875" style="5"/>
    <col min="3" max="3" width="33.77734375" style="5" customWidth="1"/>
    <col min="4" max="4" width="19.77734375" style="5" customWidth="1"/>
    <col min="5" max="5" width="20.6640625" style="5" customWidth="1"/>
    <col min="6" max="6" width="11.6640625" style="5" customWidth="1"/>
    <col min="7" max="16384" width="8.88671875" style="5"/>
  </cols>
  <sheetData>
    <row r="1" spans="1:6" x14ac:dyDescent="0.3">
      <c r="A1" s="109"/>
      <c r="B1" s="109"/>
      <c r="C1" s="109"/>
      <c r="D1" s="109"/>
      <c r="E1" s="109"/>
      <c r="F1" s="109"/>
    </row>
    <row r="2" spans="1:6" x14ac:dyDescent="0.3">
      <c r="A2" s="109"/>
      <c r="B2" s="109"/>
      <c r="C2" s="109"/>
      <c r="D2" s="109"/>
      <c r="E2" s="109"/>
      <c r="F2" s="109"/>
    </row>
    <row r="3" spans="1:6" x14ac:dyDescent="0.3">
      <c r="A3" s="109"/>
      <c r="B3" s="109"/>
      <c r="C3" s="113" t="s">
        <v>33</v>
      </c>
      <c r="D3" s="116" t="s">
        <v>6</v>
      </c>
      <c r="E3" s="2" t="s">
        <v>7</v>
      </c>
      <c r="F3" s="3" t="s">
        <v>11</v>
      </c>
    </row>
    <row r="4" spans="1:6" x14ac:dyDescent="0.3">
      <c r="A4" s="109"/>
      <c r="B4" s="109"/>
      <c r="C4" s="20" t="str">
        <f>IF(ГСМ[[#This Row],[Наименование]]="","",CONCATENATE(ГСМ[[#This Row],[Наименование]]," ",ГСМ[[#This Row],[Марка]],", ",ГСМ[[#This Row],[Ед.изм.]]))</f>
        <v>Бензин АИ-76-К3, л</v>
      </c>
      <c r="D4" s="117" t="s">
        <v>23</v>
      </c>
      <c r="E4" s="18" t="s">
        <v>24</v>
      </c>
      <c r="F4" s="115" t="s">
        <v>32</v>
      </c>
    </row>
    <row r="5" spans="1:6" x14ac:dyDescent="0.3">
      <c r="A5" s="109"/>
      <c r="B5" s="109"/>
      <c r="C5" s="20" t="str">
        <f>IF(ГСМ[[#This Row],[Наименование]]="","",CONCATENATE(ГСМ[[#This Row],[Наименование]]," ",ГСМ[[#This Row],[Марка]],", ",ГСМ[[#This Row],[Ед.изм.]]))</f>
        <v>Бензин АИ-92-К5, л</v>
      </c>
      <c r="D5" s="117" t="s">
        <v>23</v>
      </c>
      <c r="E5" s="22" t="s">
        <v>25</v>
      </c>
      <c r="F5" s="114" t="s">
        <v>32</v>
      </c>
    </row>
    <row r="6" spans="1:6" x14ac:dyDescent="0.3">
      <c r="A6" s="109"/>
      <c r="B6" s="109"/>
      <c r="C6" s="20" t="str">
        <f>IF(ГСМ[[#This Row],[Наименование]]="","",CONCATENATE(ГСМ[[#This Row],[Наименование]]," ",ГСМ[[#This Row],[Марка]],", ",ГСМ[[#This Row],[Ед.изм.]]))</f>
        <v>Бензин АИ-95-К5, л</v>
      </c>
      <c r="D6" s="117" t="s">
        <v>23</v>
      </c>
      <c r="E6" s="22" t="s">
        <v>26</v>
      </c>
      <c r="F6" s="114" t="s">
        <v>32</v>
      </c>
    </row>
    <row r="7" spans="1:6" x14ac:dyDescent="0.3">
      <c r="A7" s="109"/>
      <c r="B7" s="109"/>
      <c r="C7" s="20" t="str">
        <f>IF(ГСМ[[#This Row],[Наименование]]="","",CONCATENATE(ГСМ[[#This Row],[Наименование]]," ",ГСМ[[#This Row],[Марка]],", ",ГСМ[[#This Row],[Ед.изм.]]))</f>
        <v>Дизельное топливо ДТ-А-К5, л</v>
      </c>
      <c r="D7" s="117" t="s">
        <v>27</v>
      </c>
      <c r="E7" s="22" t="s">
        <v>28</v>
      </c>
      <c r="F7" s="114" t="s">
        <v>32</v>
      </c>
    </row>
    <row r="8" spans="1:6" x14ac:dyDescent="0.3">
      <c r="A8" s="109"/>
      <c r="B8" s="109"/>
      <c r="C8" s="20" t="str">
        <f>IF(ГСМ[[#This Row],[Наименование]]="","",CONCATENATE(ГСМ[[#This Row],[Наименование]]," ",ГСМ[[#This Row],[Марка]],", ",ГСМ[[#This Row],[Ед.изм.]]))</f>
        <v>Дизельное топливо ДТ-Е-К5, л</v>
      </c>
      <c r="D8" s="117" t="s">
        <v>27</v>
      </c>
      <c r="E8" s="18" t="s">
        <v>29</v>
      </c>
      <c r="F8" s="115" t="s">
        <v>32</v>
      </c>
    </row>
    <row r="9" spans="1:6" x14ac:dyDescent="0.3">
      <c r="A9" s="109"/>
      <c r="B9" s="109"/>
      <c r="C9" s="20" t="str">
        <f>IF(ГСМ[[#This Row],[Наименование]]="","",CONCATENATE(ГСМ[[#This Row],[Наименование]]," ",ГСМ[[#This Row],[Марка]],", ",ГСМ[[#This Row],[Ед.изм.]]))</f>
        <v>Дизельное топливо ДТ-З-К5, л</v>
      </c>
      <c r="D9" s="117" t="s">
        <v>27</v>
      </c>
      <c r="E9" s="22" t="s">
        <v>30</v>
      </c>
      <c r="F9" s="114" t="s">
        <v>32</v>
      </c>
    </row>
    <row r="10" spans="1:6" x14ac:dyDescent="0.3">
      <c r="A10" s="109"/>
      <c r="B10" s="109"/>
      <c r="C10" s="20" t="str">
        <f>IF(ГСМ[[#This Row],[Наименование]]="","",CONCATENATE(ГСМ[[#This Row],[Наименование]]," ",ГСМ[[#This Row],[Марка]],", ",ГСМ[[#This Row],[Ед.изм.]]))</f>
        <v>Дизельное топливо ДТ-Л-К5, л</v>
      </c>
      <c r="D10" s="117" t="s">
        <v>27</v>
      </c>
      <c r="E10" s="22" t="s">
        <v>31</v>
      </c>
      <c r="F10" s="114" t="s">
        <v>32</v>
      </c>
    </row>
    <row r="11" spans="1:6" ht="26.4" x14ac:dyDescent="0.3">
      <c r="A11" s="109"/>
      <c r="B11" s="109"/>
      <c r="C11" s="20" t="str">
        <f>IF(ГСМ[[#This Row],[Наименование]]="","",CONCATENATE(ГСМ[[#This Row],[Наименование]]," ",ГСМ[[#This Row],[Марка]],", ",ГСМ[[#This Row],[Ед.изм.]]))</f>
        <v>Масло моторное TEBOIL Super HPD 5W-40, канистра 1л, л</v>
      </c>
      <c r="D11" s="117" t="s">
        <v>37</v>
      </c>
      <c r="E11" s="22" t="s">
        <v>42</v>
      </c>
      <c r="F11" s="114" t="s">
        <v>32</v>
      </c>
    </row>
    <row r="12" spans="1:6" ht="26.4" x14ac:dyDescent="0.3">
      <c r="A12" s="109"/>
      <c r="B12" s="109"/>
      <c r="C12" s="20" t="str">
        <f>IF(ГСМ[[#This Row],[Наименование]]="","",CONCATENATE(ГСМ[[#This Row],[Наименование]]," ",ГСМ[[#This Row],[Марка]],", ",ГСМ[[#This Row],[Ед.изм.]]))</f>
        <v>Масло моторное TEBOIL Super HPD 5W-40, канистра 4л, л</v>
      </c>
      <c r="D12" s="117" t="s">
        <v>37</v>
      </c>
      <c r="E12" s="22" t="s">
        <v>41</v>
      </c>
      <c r="F12" s="36" t="s">
        <v>32</v>
      </c>
    </row>
    <row r="13" spans="1:6" x14ac:dyDescent="0.3">
      <c r="A13" s="109"/>
      <c r="B13" s="109"/>
      <c r="C13" s="20" t="str">
        <f>IF(ГСМ[[#This Row],[Наименование]]="","",CONCATENATE(ГСМ[[#This Row],[Наименование]]," ",ГСМ[[#This Row],[Марка]],", ",ГСМ[[#This Row],[Ед.изм.]]))</f>
        <v>Смазка ссс, мл</v>
      </c>
      <c r="D13" s="117" t="s">
        <v>116</v>
      </c>
      <c r="E13" s="18" t="s">
        <v>117</v>
      </c>
      <c r="F13" s="27" t="s">
        <v>118</v>
      </c>
    </row>
    <row r="14" spans="1:6" x14ac:dyDescent="0.3">
      <c r="A14" s="109"/>
      <c r="B14" s="109"/>
      <c r="C14" s="20" t="str">
        <f>IF(ГСМ[[#This Row],[Наименование]]="","",CONCATENATE(ГСМ[[#This Row],[Наименование]]," ",ГСМ[[#This Row],[Марка]],", ",ГСМ[[#This Row],[Ед.изм.]]))</f>
        <v/>
      </c>
      <c r="D14" s="117"/>
      <c r="E14" s="18"/>
      <c r="F14" s="27"/>
    </row>
    <row r="15" spans="1:6" x14ac:dyDescent="0.3">
      <c r="A15" s="109"/>
      <c r="B15" s="109"/>
      <c r="C15" s="20" t="str">
        <f>IF(ГСМ[[#This Row],[Наименование]]="","",CONCATENATE(ГСМ[[#This Row],[Наименование]]," ",ГСМ[[#This Row],[Марка]],", ",ГСМ[[#This Row],[Ед.изм.]]))</f>
        <v/>
      </c>
      <c r="D15" s="117"/>
      <c r="E15" s="22"/>
      <c r="F15" s="36"/>
    </row>
    <row r="16" spans="1:6" x14ac:dyDescent="0.3">
      <c r="A16" s="109"/>
      <c r="B16" s="109"/>
      <c r="C16" s="20" t="str">
        <f>IF(ГСМ[[#This Row],[Наименование]]="","",CONCATENATE(ГСМ[[#This Row],[Наименование]]," ",ГСМ[[#This Row],[Марка]],", ",ГСМ[[#This Row],[Ед.изм.]]))</f>
        <v/>
      </c>
      <c r="D16" s="117"/>
      <c r="E16" s="22"/>
      <c r="F16" s="36"/>
    </row>
    <row r="17" spans="1:6" x14ac:dyDescent="0.3">
      <c r="A17" s="109"/>
      <c r="B17" s="109"/>
      <c r="C17" s="17" t="str">
        <f>IF(ГСМ[[#This Row],[Наименование]]="","",CONCATENATE(ГСМ[[#This Row],[Наименование]]," ",ГСМ[[#This Row],[Марка]],", ",ГСМ[[#This Row],[Ед.изм.]]))</f>
        <v/>
      </c>
      <c r="D17" s="117"/>
      <c r="E17" s="18"/>
      <c r="F17" s="27"/>
    </row>
    <row r="18" spans="1:6" x14ac:dyDescent="0.3">
      <c r="C18" s="17" t="str">
        <f>IF(ГСМ[[#This Row],[Наименование]]="","",CONCATENATE(ГСМ[[#This Row],[Наименование]]," ",ГСМ[[#This Row],[Марка]],", ",ГСМ[[#This Row],[Ед.изм.]]))</f>
        <v/>
      </c>
      <c r="D18" s="117"/>
      <c r="E18" s="18"/>
      <c r="F18" s="27"/>
    </row>
    <row r="19" spans="1:6" x14ac:dyDescent="0.3">
      <c r="C19" s="17" t="str">
        <f>IF(ГСМ[[#This Row],[Наименование]]="","",CONCATENATE(ГСМ[[#This Row],[Наименование]]," ",ГСМ[[#This Row],[Марка]],", ",ГСМ[[#This Row],[Ед.изм.]]))</f>
        <v/>
      </c>
      <c r="D19" s="117"/>
      <c r="E19" s="18"/>
      <c r="F19" s="27"/>
    </row>
    <row r="20" spans="1:6" x14ac:dyDescent="0.3">
      <c r="C20" s="21" t="str">
        <f>IF(ГСМ[[#This Row],[Наименование]]="","",CONCATENATE(ГСМ[[#This Row],[Наименование]]," ",ГСМ[[#This Row],[Марка]],", ",ГСМ[[#This Row],[Ед.изм.]]))</f>
        <v/>
      </c>
      <c r="D20" s="127"/>
      <c r="E20" s="22"/>
      <c r="F20" s="36"/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showRowColHeaders="0" tabSelected="1" workbookViewId="0">
      <pane ySplit="3" topLeftCell="A4" activePane="bottomLeft" state="frozen"/>
      <selection pane="bottomLeft" activeCell="E12" sqref="E12"/>
    </sheetView>
  </sheetViews>
  <sheetFormatPr defaultRowHeight="13.2" x14ac:dyDescent="0.3"/>
  <cols>
    <col min="1" max="2" width="8.88671875" style="5"/>
    <col min="3" max="3" width="19.33203125" style="5" customWidth="1"/>
    <col min="4" max="4" width="17.44140625" style="5" customWidth="1"/>
    <col min="5" max="5" width="28.5546875" style="5" customWidth="1"/>
    <col min="6" max="16384" width="8.88671875" style="5"/>
  </cols>
  <sheetData>
    <row r="1" spans="1:10" x14ac:dyDescent="0.3">
      <c r="A1" s="109"/>
      <c r="B1" s="109"/>
      <c r="C1" s="109"/>
      <c r="D1" s="109"/>
      <c r="E1" s="109"/>
    </row>
    <row r="2" spans="1:10" x14ac:dyDescent="0.3">
      <c r="A2" s="109"/>
      <c r="B2" s="109"/>
      <c r="C2" s="109"/>
      <c r="D2" s="109"/>
      <c r="E2" s="109"/>
    </row>
    <row r="3" spans="1:10" x14ac:dyDescent="0.3">
      <c r="A3" s="109"/>
      <c r="B3" s="109"/>
      <c r="C3" s="1" t="s">
        <v>3</v>
      </c>
      <c r="D3" s="3" t="s">
        <v>4</v>
      </c>
      <c r="E3" s="4" t="s">
        <v>33</v>
      </c>
      <c r="I3" s="16"/>
    </row>
    <row r="4" spans="1:10" x14ac:dyDescent="0.3">
      <c r="A4" s="109"/>
      <c r="B4" s="109"/>
      <c r="C4" s="10" t="s">
        <v>21</v>
      </c>
      <c r="D4" s="12" t="s">
        <v>22</v>
      </c>
      <c r="E4" s="9" t="str">
        <f>IF(AND(Автомобили[[#This Row],[Модель]]="",Автомобили[[#This Row],[Номер]]=""),"",IF(Автомобили[[#This Row],[Модель]]="",Автомобили[[#This Row],[Номер]],IF(Автомобили[[#This Row],[Номер]]="",Автомобили[[#This Row],[Модель]],CONCATENATE(Автомобили[[#This Row],[Модель]],", ",Автомобили[[#This Row],[Номер]]))))</f>
        <v>Волга 31105, Р442ММ 98</v>
      </c>
      <c r="I4" s="16"/>
      <c r="J4" s="16"/>
    </row>
    <row r="5" spans="1:10" x14ac:dyDescent="0.3">
      <c r="A5" s="109"/>
      <c r="B5" s="109"/>
      <c r="C5" s="10" t="s">
        <v>65</v>
      </c>
      <c r="D5" s="12" t="s">
        <v>66</v>
      </c>
      <c r="E5" s="9" t="str">
        <f>IF(AND(Автомобили[[#This Row],[Модель]]="",Автомобили[[#This Row],[Номер]]=""),"",IF(Автомобили[[#This Row],[Модель]]="",Автомобили[[#This Row],[Номер]],IF(Автомобили[[#This Row],[Номер]]="",Автомобили[[#This Row],[Модель]],CONCATENATE(Автомобили[[#This Row],[Модель]],", ",Автомобили[[#This Row],[Номер]]))))</f>
        <v>Волга С40, Р221РВ 178</v>
      </c>
      <c r="I5" s="16"/>
      <c r="J5" s="16"/>
    </row>
    <row r="6" spans="1:10" x14ac:dyDescent="0.3">
      <c r="A6" s="109"/>
      <c r="B6" s="109"/>
      <c r="C6" s="10" t="s">
        <v>35</v>
      </c>
      <c r="D6" s="12" t="s">
        <v>20</v>
      </c>
      <c r="E6" s="9" t="str">
        <f>IF(AND(Автомобили[[#This Row],[Модель]]="",Автомобили[[#This Row],[Номер]]=""),"",IF(Автомобили[[#This Row],[Модель]]="",Автомобили[[#This Row],[Номер]],IF(Автомобили[[#This Row],[Номер]]="",Автомобили[[#This Row],[Модель]],CONCATENATE(Автомобили[[#This Row],[Модель]],", ",Автомобили[[#This Row],[Номер]]))))</f>
        <v>Камаз 4308, А145ВС 47</v>
      </c>
      <c r="I6" s="16"/>
      <c r="J6" s="16"/>
    </row>
    <row r="7" spans="1:10" x14ac:dyDescent="0.3">
      <c r="A7" s="109"/>
      <c r="B7" s="109"/>
      <c r="C7" s="6" t="s">
        <v>35</v>
      </c>
      <c r="D7" s="8" t="s">
        <v>36</v>
      </c>
      <c r="E7" s="9" t="str">
        <f>IF(AND(Автомобили[[#This Row],[Модель]]="",Автомобили[[#This Row],[Номер]]=""),"",IF(Автомобили[[#This Row],[Модель]]="",Автомобили[[#This Row],[Номер]],IF(Автомобили[[#This Row],[Номер]]="",Автомобили[[#This Row],[Модель]],CONCATENATE(Автомобили[[#This Row],[Модель]],", ",Автомобили[[#This Row],[Номер]]))))</f>
        <v>Камаз 4308, А332ТТ 147</v>
      </c>
      <c r="I7" s="16"/>
      <c r="J7" s="16"/>
    </row>
    <row r="8" spans="1:10" x14ac:dyDescent="0.3">
      <c r="A8" s="109"/>
      <c r="B8" s="109"/>
      <c r="C8" s="6"/>
      <c r="D8" s="126"/>
      <c r="E8" s="126" t="str">
        <f>IF(AND(Автомобили[[#This Row],[Модель]]="",Автомобили[[#This Row],[Номер]]=""),"",IF(Автомобили[[#This Row],[Модель]]="",Автомобили[[#This Row],[Номер]],IF(Автомобили[[#This Row],[Номер]]="",Автомобили[[#This Row],[Модель]],CONCATENATE(Автомобили[[#This Row],[Модель]],", ",Автомобили[[#This Row],[Номер]]))))</f>
        <v/>
      </c>
    </row>
    <row r="9" spans="1:10" x14ac:dyDescent="0.3">
      <c r="C9" s="6"/>
      <c r="D9" s="126"/>
      <c r="E9" s="126" t="str">
        <f>IF(AND(Автомобили[[#This Row],[Модель]]="",Автомобили[[#This Row],[Номер]]=""),"",IF(Автомобили[[#This Row],[Модель]]="",Автомобили[[#This Row],[Номер]],IF(Автомобили[[#This Row],[Номер]]="",Автомобили[[#This Row],[Модель]],CONCATENATE(Автомобили[[#This Row],[Модель]],", ",Автомобили[[#This Row],[Номер]]))))</f>
        <v/>
      </c>
    </row>
    <row r="10" spans="1:10" x14ac:dyDescent="0.3">
      <c r="C10" s="6"/>
      <c r="D10" s="126"/>
      <c r="E10" s="126" t="str">
        <f>IF(AND(Автомобили[[#This Row],[Модель]]="",Автомобили[[#This Row],[Номер]]=""),"",IF(Автомобили[[#This Row],[Модель]]="",Автомобили[[#This Row],[Номер]],IF(Автомобили[[#This Row],[Номер]]="",Автомобили[[#This Row],[Модель]],CONCATENATE(Автомобили[[#This Row],[Модель]],", ",Автомобили[[#This Row],[Номер]]))))</f>
        <v/>
      </c>
    </row>
    <row r="11" spans="1:10" x14ac:dyDescent="0.3">
      <c r="C11" s="6"/>
      <c r="D11" s="126"/>
      <c r="E11" s="126" t="str">
        <f>IF(AND(Автомобили[[#This Row],[Модель]]="",Автомобили[[#This Row],[Номер]]=""),"",IF(Автомобили[[#This Row],[Модель]]="",Автомобили[[#This Row],[Номер]],IF(Автомобили[[#This Row],[Номер]]="",Автомобили[[#This Row],[Модель]],CONCATENATE(Автомобили[[#This Row],[Модель]],", ",Автомобили[[#This Row],[Номер]]))))</f>
        <v/>
      </c>
    </row>
    <row r="12" spans="1:10" x14ac:dyDescent="0.3">
      <c r="C12" s="6"/>
      <c r="D12" s="126"/>
      <c r="E12" s="126" t="str">
        <f>IF(AND(Автомобили[[#This Row],[Модель]]="",Автомобили[[#This Row],[Номер]]=""),"",IF(Автомобили[[#This Row],[Модель]]="",Автомобили[[#This Row],[Номер]],IF(Автомобили[[#This Row],[Номер]]="",Автомобили[[#This Row],[Модель]],CONCATENATE(Автомобили[[#This Row],[Модель]],", ",Автомобили[[#This Row],[Номер]]))))</f>
        <v/>
      </c>
    </row>
    <row r="13" spans="1:10" x14ac:dyDescent="0.3">
      <c r="C13" s="10"/>
      <c r="D13" s="12"/>
      <c r="E13" s="12" t="str">
        <f>IF(AND(Автомобили[[#This Row],[Модель]]="",Автомобили[[#This Row],[Номер]]=""),"",IF(Автомобили[[#This Row],[Модель]]="",Автомобили[[#This Row],[Номер]],IF(Автомобили[[#This Row],[Номер]]="",Автомобили[[#This Row],[Модель]],CONCATENATE(Автомобили[[#This Row],[Модель]],", ",Автомобили[[#This Row],[Номер]]))))</f>
        <v/>
      </c>
    </row>
    <row r="14" spans="1:10" x14ac:dyDescent="0.25">
      <c r="C14" s="13" t="s">
        <v>14</v>
      </c>
      <c r="D14" s="14">
        <f>SUBTOTAL(103,Автомобили[Номер])</f>
        <v>4</v>
      </c>
      <c r="E14" s="15"/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showGridLines="0" showRowColHeaders="0" workbookViewId="0">
      <pane ySplit="3" topLeftCell="A4" activePane="bottomLeft" state="frozen"/>
      <selection pane="bottomLeft" activeCell="E4" sqref="E4"/>
    </sheetView>
  </sheetViews>
  <sheetFormatPr defaultRowHeight="13.2" x14ac:dyDescent="0.3"/>
  <cols>
    <col min="1" max="2" width="8.88671875" style="5"/>
    <col min="3" max="3" width="21.44140625" style="5" customWidth="1"/>
    <col min="4" max="4" width="20.77734375" style="5" customWidth="1"/>
    <col min="5" max="5" width="20.109375" style="5" customWidth="1"/>
    <col min="6" max="6" width="25.21875" style="5" customWidth="1"/>
    <col min="7" max="16384" width="8.88671875" style="5"/>
  </cols>
  <sheetData>
    <row r="1" spans="1:6" x14ac:dyDescent="0.3">
      <c r="A1" s="109"/>
      <c r="B1" s="109"/>
      <c r="C1" s="109"/>
      <c r="D1" s="109"/>
      <c r="E1" s="109"/>
      <c r="F1" s="109"/>
    </row>
    <row r="2" spans="1:6" x14ac:dyDescent="0.3">
      <c r="A2" s="109"/>
      <c r="B2" s="109"/>
      <c r="C2" s="109"/>
      <c r="D2" s="109"/>
      <c r="E2" s="109"/>
      <c r="F2" s="109"/>
    </row>
    <row r="3" spans="1:6" x14ac:dyDescent="0.3">
      <c r="A3" s="109"/>
      <c r="B3" s="109"/>
      <c r="C3" s="1" t="s">
        <v>13</v>
      </c>
      <c r="D3" s="2" t="s">
        <v>0</v>
      </c>
      <c r="E3" s="3" t="s">
        <v>1</v>
      </c>
      <c r="F3" s="4" t="s">
        <v>33</v>
      </c>
    </row>
    <row r="4" spans="1:6" x14ac:dyDescent="0.3">
      <c r="A4" s="109"/>
      <c r="B4" s="109"/>
      <c r="C4" s="6" t="s">
        <v>15</v>
      </c>
      <c r="D4" s="7" t="s">
        <v>16</v>
      </c>
      <c r="E4" s="8" t="s">
        <v>17</v>
      </c>
      <c r="F4" s="9" t="str">
        <f>CONCATENATE(Сотрудники[[#This Row],[Ф.И.О.]],IF(Сотрудники[Табельный номер]="","",", "),Сотрудники[[#This Row],[Табельный номер]])</f>
        <v>Иванов С.Н., 0115</v>
      </c>
    </row>
    <row r="5" spans="1:6" x14ac:dyDescent="0.3">
      <c r="A5" s="109"/>
      <c r="B5" s="109"/>
      <c r="C5" s="10" t="s">
        <v>18</v>
      </c>
      <c r="D5" s="11" t="s">
        <v>44</v>
      </c>
      <c r="E5" s="12" t="s">
        <v>17</v>
      </c>
      <c r="F5" s="9" t="str">
        <f>CONCATENATE(Сотрудники[[#This Row],[Ф.И.О.]],IF(Сотрудники[Табельный номер]="","",", "),Сотрудники[[#This Row],[Табельный номер]])</f>
        <v>Петров А.Ф., 4573</v>
      </c>
    </row>
    <row r="6" spans="1:6" x14ac:dyDescent="0.3">
      <c r="A6" s="109"/>
      <c r="B6" s="109"/>
      <c r="C6" s="10" t="s">
        <v>43</v>
      </c>
      <c r="D6" s="11" t="s">
        <v>73</v>
      </c>
      <c r="E6" s="12" t="s">
        <v>19</v>
      </c>
      <c r="F6" s="9" t="str">
        <f>CONCATENATE(Сотрудники[[#This Row],[Ф.И.О.]],IF(Сотрудники[Табельный номер]="","",", "),Сотрудники[[#This Row],[Табельный номер]])</f>
        <v>Сидоров М.И., 3212</v>
      </c>
    </row>
    <row r="7" spans="1:6" x14ac:dyDescent="0.3">
      <c r="A7" s="109"/>
      <c r="B7" s="109"/>
      <c r="C7" s="6"/>
      <c r="D7" s="7"/>
      <c r="E7" s="8"/>
      <c r="F7" s="9" t="str">
        <f>CONCATENATE(Сотрудники[[#This Row],[Ф.И.О.]],IF(Сотрудники[Табельный номер]="","",", "),Сотрудники[[#This Row],[Табельный номер]])</f>
        <v/>
      </c>
    </row>
    <row r="8" spans="1:6" x14ac:dyDescent="0.25">
      <c r="A8" s="109"/>
      <c r="B8" s="109"/>
      <c r="C8" s="13" t="s">
        <v>14</v>
      </c>
      <c r="D8" s="13"/>
      <c r="E8" s="14">
        <f>SUBTOTAL(103,Сотрудники[Должность])</f>
        <v>3</v>
      </c>
      <c r="F8" s="15"/>
    </row>
  </sheetData>
  <pageMargins left="0.7" right="0.7" top="0.75" bottom="0.75" header="0.3" footer="0.3"/>
  <ignoredErrors>
    <ignoredError sqref="D4:D6" numberStoredAsText="1"/>
  </ignoredErrors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showGridLines="0" showRowColHeaders="0" workbookViewId="0">
      <pane ySplit="3" topLeftCell="A4" activePane="bottomLeft" state="frozen"/>
      <selection pane="bottomLeft" activeCell="D19" sqref="D19"/>
    </sheetView>
  </sheetViews>
  <sheetFormatPr defaultRowHeight="13.2" outlineLevelCol="1" x14ac:dyDescent="0.3"/>
  <cols>
    <col min="1" max="2" width="8.88671875" style="5"/>
    <col min="3" max="3" width="14.44140625" style="5" customWidth="1"/>
    <col min="4" max="4" width="31" style="5" customWidth="1"/>
    <col min="5" max="5" width="16.109375" style="5" customWidth="1"/>
    <col min="6" max="6" width="13.109375" style="5" customWidth="1"/>
    <col min="7" max="7" width="9.5546875" style="5" customWidth="1"/>
    <col min="8" max="8" width="9.88671875" style="5" bestFit="1" customWidth="1"/>
    <col min="9" max="9" width="12.109375" style="5" customWidth="1"/>
    <col min="10" max="10" width="12.88671875" style="5" customWidth="1"/>
    <col min="11" max="11" width="23" style="5" customWidth="1"/>
    <col min="12" max="13" width="0" style="5" hidden="1" customWidth="1" outlineLevel="1"/>
    <col min="14" max="14" width="8.88671875" style="5" collapsed="1"/>
    <col min="15" max="16384" width="8.88671875" style="5"/>
  </cols>
  <sheetData>
    <row r="1" spans="1:13" x14ac:dyDescent="0.3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3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3" x14ac:dyDescent="0.3">
      <c r="A3" s="109"/>
      <c r="B3" s="109"/>
      <c r="C3" s="1" t="s">
        <v>8</v>
      </c>
      <c r="D3" s="2" t="s">
        <v>5</v>
      </c>
      <c r="E3" s="4" t="s">
        <v>6</v>
      </c>
      <c r="F3" s="4" t="s">
        <v>7</v>
      </c>
      <c r="G3" s="4" t="s">
        <v>11</v>
      </c>
      <c r="H3" s="25" t="s">
        <v>10</v>
      </c>
      <c r="I3" s="2" t="s">
        <v>38</v>
      </c>
      <c r="J3" s="4" t="s">
        <v>39</v>
      </c>
      <c r="K3" s="3" t="s">
        <v>34</v>
      </c>
      <c r="L3" s="26" t="s">
        <v>51</v>
      </c>
      <c r="M3" s="4" t="s">
        <v>52</v>
      </c>
    </row>
    <row r="4" spans="1:13" ht="26.4" x14ac:dyDescent="0.3">
      <c r="A4" s="109"/>
      <c r="B4" s="109"/>
      <c r="C4" s="118">
        <v>45292</v>
      </c>
      <c r="D4" s="18" t="s">
        <v>113</v>
      </c>
      <c r="E4" s="18" t="str">
        <f>IF(Приход[[#This Row],[ГСМ]]="","",LOOKUP(Приход[[#This Row],[ГСМ]],ГСМ[],ГСМ[Наименование]))</f>
        <v>Бензин</v>
      </c>
      <c r="F4" s="18" t="str">
        <f>IF(Приход[[#This Row],[ГСМ]]="","",LOOKUP(Приход[[#This Row],[ГСМ]],ГСМ[],ГСМ[Марка]))</f>
        <v>АИ-92-К5</v>
      </c>
      <c r="G4" s="27" t="str">
        <f>IF(Приход[[#This Row],[ГСМ]]="","",LOOKUP(Приход[[#This Row],[ГСМ]],ГСМ[],ГСМ[Ед.изм.]))</f>
        <v>л</v>
      </c>
      <c r="H4" s="119">
        <v>10000</v>
      </c>
      <c r="I4" s="120">
        <v>50</v>
      </c>
      <c r="J4" s="120">
        <f>IF(Приход[[#This Row],[Кол-во]]="","",Приход[[#This Row],[Кол-во]]*Приход[[#This Row],[Цена]])</f>
        <v>500000</v>
      </c>
      <c r="K4" s="30" t="s">
        <v>57</v>
      </c>
      <c r="L4" s="31">
        <f>IF(Приход[[#This Row],[Дата]]="","",'Оборотка-Склад'!$E$3-Приход[[#This Row],[Дата]])</f>
        <v>0</v>
      </c>
      <c r="M4" s="31">
        <f>IF(Приход[[#This Row],[Дата]]="","",'Оборотка-Склад'!$G$3-Приход[[#This Row],[Дата]])</f>
        <v>2</v>
      </c>
    </row>
    <row r="5" spans="1:13" ht="39.6" x14ac:dyDescent="0.3">
      <c r="A5" s="109"/>
      <c r="B5" s="109"/>
      <c r="C5" s="118">
        <v>45293</v>
      </c>
      <c r="D5" s="18" t="s">
        <v>60</v>
      </c>
      <c r="E5" s="18" t="str">
        <f>IF(Приход[[#This Row],[ГСМ]]="","",LOOKUP(Приход[[#This Row],[ГСМ]],ГСМ[],ГСМ[Наименование]))</f>
        <v>Масло моторное</v>
      </c>
      <c r="F5" s="18" t="str">
        <f>IF(Приход[[#This Row],[ГСМ]]="","",LOOKUP(Приход[[#This Row],[ГСМ]],ГСМ[],ГСМ[Марка]))</f>
        <v>TEBOIL Super HPD 5W-40, канистра 1л</v>
      </c>
      <c r="G5" s="27" t="str">
        <f>IF(Приход[[#This Row],[ГСМ]]="","",LOOKUP(Приход[[#This Row],[ГСМ]],ГСМ[],ГСМ[Ед.изм.]))</f>
        <v>л</v>
      </c>
      <c r="H5" s="119">
        <v>100</v>
      </c>
      <c r="I5" s="120">
        <v>1200</v>
      </c>
      <c r="J5" s="120">
        <f>IF(Приход[[#This Row],[Кол-во]]="","",Приход[[#This Row],[Кол-во]]*Приход[[#This Row],[Цена]])</f>
        <v>120000</v>
      </c>
      <c r="K5" s="30" t="s">
        <v>61</v>
      </c>
      <c r="L5" s="31">
        <f>IF(Приход[[#This Row],[Дата]]="","",'Оборотка-Склад'!$E$3-Приход[[#This Row],[Дата]])</f>
        <v>-1</v>
      </c>
      <c r="M5" s="31">
        <f>IF(Приход[[#This Row],[Дата]]="","",'Оборотка-Склад'!$G$3-Приход[[#This Row],[Дата]])</f>
        <v>1</v>
      </c>
    </row>
    <row r="6" spans="1:13" ht="39.6" x14ac:dyDescent="0.3">
      <c r="A6" s="109"/>
      <c r="B6" s="109"/>
      <c r="C6" s="121">
        <v>45294</v>
      </c>
      <c r="D6" s="22" t="s">
        <v>60</v>
      </c>
      <c r="E6" s="18" t="str">
        <f>IF(Приход[[#This Row],[ГСМ]]="","",LOOKUP(Приход[[#This Row],[ГСМ]],ГСМ[],ГСМ[Наименование]))</f>
        <v>Масло моторное</v>
      </c>
      <c r="F6" s="18" t="str">
        <f>IF(Приход[[#This Row],[ГСМ]]="","",LOOKUP(Приход[[#This Row],[ГСМ]],ГСМ[],ГСМ[Марка]))</f>
        <v>TEBOIL Super HPD 5W-40, канистра 1л</v>
      </c>
      <c r="G6" s="27" t="str">
        <f>IF(Приход[[#This Row],[ГСМ]]="","",LOOKUP(Приход[[#This Row],[ГСМ]],ГСМ[],ГСМ[Ед.изм.]))</f>
        <v>л</v>
      </c>
      <c r="H6" s="122">
        <v>2500</v>
      </c>
      <c r="I6" s="123">
        <v>55</v>
      </c>
      <c r="J6" s="120">
        <f>IF(Приход[[#This Row],[Кол-во]]="","",Приход[[#This Row],[Кол-во]]*Приход[[#This Row],[Цена]])</f>
        <v>137500</v>
      </c>
      <c r="K6" s="35" t="s">
        <v>115</v>
      </c>
      <c r="L6" s="31">
        <f>IF(Приход[[#This Row],[Дата]]="","",'Оборотка-Склад'!$E$3-Приход[[#This Row],[Дата]])</f>
        <v>-2</v>
      </c>
      <c r="M6" s="31">
        <f>IF(Приход[[#This Row],[Дата]]="","",'Оборотка-Склад'!$G$3-Приход[[#This Row],[Дата]])</f>
        <v>0</v>
      </c>
    </row>
    <row r="7" spans="1:13" x14ac:dyDescent="0.3">
      <c r="A7" s="109"/>
      <c r="B7" s="109"/>
      <c r="C7" s="124"/>
      <c r="D7" s="18"/>
      <c r="E7" s="18" t="str">
        <f>IF(Приход[[#This Row],[ГСМ]]="","",LOOKUP(Приход[[#This Row],[ГСМ]],ГСМ[],ГСМ[Наименование]))</f>
        <v/>
      </c>
      <c r="F7" s="18" t="str">
        <f>IF(Приход[[#This Row],[ГСМ]]="","",LOOKUP(Приход[[#This Row],[ГСМ]],ГСМ[],ГСМ[Марка]))</f>
        <v/>
      </c>
      <c r="G7" s="27" t="str">
        <f>IF(Приход[[#This Row],[ГСМ]]="","",LOOKUP(Приход[[#This Row],[ГСМ]],ГСМ[],ГСМ[Ед.изм.]))</f>
        <v/>
      </c>
      <c r="H7" s="119"/>
      <c r="I7" s="120"/>
      <c r="J7" s="120" t="str">
        <f>IF(Приход[[#This Row],[Кол-во]]="","",Приход[[#This Row],[Кол-во]]*Приход[[#This Row],[Цена]])</f>
        <v/>
      </c>
      <c r="K7" s="30"/>
      <c r="L7" s="31" t="str">
        <f>IF(Приход[[#This Row],[Дата]]="","",'Оборотка-Склад'!$E$3-Приход[[#This Row],[Дата]])</f>
        <v/>
      </c>
      <c r="M7" s="19" t="str">
        <f>IF(Приход[[#This Row],[Дата]]="","",'Оборотка-Склад'!$G$3-Приход[[#This Row],[Дата]])</f>
        <v/>
      </c>
    </row>
    <row r="8" spans="1:13" x14ac:dyDescent="0.3">
      <c r="A8" s="109"/>
      <c r="B8" s="109"/>
      <c r="C8" s="124"/>
      <c r="D8" s="18"/>
      <c r="E8" s="18" t="str">
        <f>IF(Приход[[#This Row],[ГСМ]]="","",LOOKUP(Приход[[#This Row],[ГСМ]],ГСМ[],ГСМ[Наименование]))</f>
        <v/>
      </c>
      <c r="F8" s="18" t="str">
        <f>IF(Приход[[#This Row],[ГСМ]]="","",LOOKUP(Приход[[#This Row],[ГСМ]],ГСМ[],ГСМ[Марка]))</f>
        <v/>
      </c>
      <c r="G8" s="27" t="str">
        <f>IF(Приход[[#This Row],[ГСМ]]="","",LOOKUP(Приход[[#This Row],[ГСМ]],ГСМ[],ГСМ[Ед.изм.]))</f>
        <v/>
      </c>
      <c r="H8" s="119"/>
      <c r="I8" s="120"/>
      <c r="J8" s="120" t="str">
        <f>IF(Приход[[#This Row],[Кол-во]]="","",Приход[[#This Row],[Кол-во]]*Приход[[#This Row],[Цена]])</f>
        <v/>
      </c>
      <c r="K8" s="30"/>
      <c r="L8" s="31" t="str">
        <f>IF(Приход[[#This Row],[Дата]]="","",'Оборотка-Склад'!$E$3-Приход[[#This Row],[Дата]])</f>
        <v/>
      </c>
      <c r="M8" s="19" t="str">
        <f>IF(Приход[[#This Row],[Дата]]="","",'Оборотка-Склад'!$G$3-Приход[[#This Row],[Дата]])</f>
        <v/>
      </c>
    </row>
    <row r="9" spans="1:13" x14ac:dyDescent="0.3">
      <c r="A9" s="109"/>
      <c r="B9" s="109"/>
      <c r="C9" s="125"/>
      <c r="D9" s="22"/>
      <c r="E9" s="18" t="str">
        <f>IF(Приход[[#This Row],[ГСМ]]="","",LOOKUP(Приход[[#This Row],[ГСМ]],ГСМ[],ГСМ[Наименование]))</f>
        <v/>
      </c>
      <c r="F9" s="22" t="str">
        <f>IF(Приход[[#This Row],[ГСМ]]="","",LOOKUP(Приход[[#This Row],[ГСМ]],ГСМ[],ГСМ[Марка]))</f>
        <v/>
      </c>
      <c r="G9" s="36" t="str">
        <f>IF(Приход[[#This Row],[ГСМ]]="","",LOOKUP(Приход[[#This Row],[ГСМ]],ГСМ[],ГСМ[Ед.изм.]))</f>
        <v/>
      </c>
      <c r="H9" s="122"/>
      <c r="I9" s="123"/>
      <c r="J9" s="123" t="str">
        <f>IF(Приход[[#This Row],[Кол-во]]="","",Приход[[#This Row],[Кол-во]]*Приход[[#This Row],[Цена]])</f>
        <v/>
      </c>
      <c r="K9" s="35"/>
      <c r="L9" s="37" t="str">
        <f>IF(Приход[[#This Row],[Дата]]="","",'Оборотка-Склад'!$E$3-Приход[[#This Row],[Дата]])</f>
        <v/>
      </c>
      <c r="M9" s="23" t="str">
        <f>IF(Приход[[#This Row],[Дата]]="","",'Оборотка-Склад'!$G$3-Приход[[#This Row],[Дата]])</f>
        <v/>
      </c>
    </row>
    <row r="10" spans="1:13" x14ac:dyDescent="0.25">
      <c r="A10" s="109"/>
      <c r="B10" s="109"/>
      <c r="C10" s="13" t="s">
        <v>14</v>
      </c>
      <c r="D10" s="14">
        <f>SUBTOTAL(103,Приход[ГСМ])</f>
        <v>3</v>
      </c>
      <c r="E10" s="13"/>
      <c r="F10" s="13"/>
      <c r="G10" s="13"/>
      <c r="H10" s="28">
        <f>SUBTOTAL(109,Приход[Кол-во])</f>
        <v>12600</v>
      </c>
      <c r="I10" s="29"/>
      <c r="J10" s="29">
        <f>SUBTOTAL(109,Приход[Сумма])</f>
        <v>757500</v>
      </c>
      <c r="K10" s="29"/>
      <c r="L10" s="13"/>
      <c r="M10" s="15"/>
    </row>
  </sheetData>
  <dataValidations count="1">
    <dataValidation type="list" allowBlank="1" showInputMessage="1" showErrorMessage="1" error="В таблице ГСМ нет такой позиции" prompt="Выберите вариант из списка" sqref="D4:D9">
      <formula1>INDIRECT("ГСМ[Обозначение]")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showGridLines="0" showRowColHeaders="0" workbookViewId="0">
      <pane ySplit="3" topLeftCell="A4" activePane="bottomLeft" state="frozen"/>
      <selection pane="bottomLeft" activeCell="E15" sqref="E15"/>
    </sheetView>
  </sheetViews>
  <sheetFormatPr defaultRowHeight="13.2" outlineLevelCol="1" x14ac:dyDescent="0.3"/>
  <cols>
    <col min="1" max="2" width="8.88671875" style="5"/>
    <col min="3" max="3" width="14.44140625" style="5" customWidth="1"/>
    <col min="4" max="4" width="11.77734375" style="5" customWidth="1"/>
    <col min="5" max="5" width="24.33203125" style="5" customWidth="1"/>
    <col min="6" max="6" width="13.6640625" style="5" customWidth="1"/>
    <col min="7" max="7" width="12.44140625" style="5" customWidth="1"/>
    <col min="8" max="8" width="16" style="5" customWidth="1"/>
    <col min="9" max="9" width="19.5546875" style="5" customWidth="1"/>
    <col min="10" max="10" width="14.33203125" style="5" customWidth="1"/>
    <col min="11" max="11" width="18.88671875" style="5" customWidth="1"/>
    <col min="12" max="12" width="12.21875" style="5" customWidth="1"/>
    <col min="13" max="13" width="20.5546875" style="5" customWidth="1"/>
    <col min="14" max="14" width="15" style="5" customWidth="1"/>
    <col min="15" max="15" width="9.5546875" style="5" customWidth="1"/>
    <col min="16" max="18" width="8.88671875" style="5"/>
    <col min="19" max="19" width="11.5546875" style="5" customWidth="1"/>
    <col min="20" max="20" width="15.6640625" style="5" customWidth="1"/>
    <col min="21" max="22" width="8.88671875" style="5" hidden="1" customWidth="1" outlineLevel="1"/>
    <col min="23" max="23" width="8.88671875" style="5" collapsed="1"/>
    <col min="24" max="16384" width="8.88671875" style="5"/>
  </cols>
  <sheetData>
    <row r="1" spans="1:22" x14ac:dyDescent="0.3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2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2" ht="26.4" x14ac:dyDescent="0.3">
      <c r="A3" s="109"/>
      <c r="B3" s="109"/>
      <c r="C3" s="38" t="s">
        <v>12</v>
      </c>
      <c r="D3" s="40" t="s">
        <v>8</v>
      </c>
      <c r="E3" s="39" t="s">
        <v>2</v>
      </c>
      <c r="F3" s="40" t="s">
        <v>3</v>
      </c>
      <c r="G3" s="40" t="s">
        <v>4</v>
      </c>
      <c r="H3" s="39" t="s">
        <v>9</v>
      </c>
      <c r="I3" s="39" t="s">
        <v>40</v>
      </c>
      <c r="J3" s="40" t="s">
        <v>13</v>
      </c>
      <c r="K3" s="40" t="s">
        <v>0</v>
      </c>
      <c r="L3" s="40" t="s">
        <v>1</v>
      </c>
      <c r="M3" s="39" t="s">
        <v>5</v>
      </c>
      <c r="N3" s="40" t="s">
        <v>6</v>
      </c>
      <c r="O3" s="40" t="s">
        <v>7</v>
      </c>
      <c r="P3" s="40" t="s">
        <v>11</v>
      </c>
      <c r="Q3" s="39" t="s">
        <v>10</v>
      </c>
      <c r="R3" s="39" t="s">
        <v>38</v>
      </c>
      <c r="S3" s="40" t="s">
        <v>39</v>
      </c>
      <c r="T3" s="41" t="s">
        <v>34</v>
      </c>
      <c r="U3" s="40" t="s">
        <v>51</v>
      </c>
      <c r="V3" s="40" t="s">
        <v>52</v>
      </c>
    </row>
    <row r="4" spans="1:22" x14ac:dyDescent="0.3">
      <c r="A4" s="109"/>
      <c r="B4" s="109"/>
      <c r="C4" s="42" t="s">
        <v>62</v>
      </c>
      <c r="D4" s="43">
        <f>IF(Расход[[#This Row],[Номер ведомости]]="","",LOOKUP(Расход[[#This Row],[Номер ведомости]],Ведомость_реестр[],Ведомость_реестр[Дата]))</f>
        <v>45293</v>
      </c>
      <c r="E4" s="13" t="s">
        <v>58</v>
      </c>
      <c r="F4" s="13" t="str">
        <f>IF(Расход[[#This Row],[Автомобиль]]="","",LOOKUP(Расход[[#This Row],[Автомобиль]],Автомобили[],Автомобили[Модель]))</f>
        <v>Волга 31105</v>
      </c>
      <c r="G4" s="13" t="str">
        <f>IF(Расход[[#This Row],[Автомобиль]]="","",LOOKUP(Расход[[#This Row],[Автомобиль]],Автомобили[],Автомобили[Номер]))</f>
        <v>Р442ММ 98</v>
      </c>
      <c r="H4" s="13" t="s">
        <v>63</v>
      </c>
      <c r="I4" s="13" t="s">
        <v>59</v>
      </c>
      <c r="J4" s="13" t="str">
        <f>IF(Расход[[#This Row],[Сотрудник]]="","",LOOKUP(Расход[[#This Row],[Сотрудник]],Сотрудники[],Сотрудники[Ф.И.О.]))</f>
        <v>Петров А.Ф.</v>
      </c>
      <c r="K4" s="13" t="str">
        <f>IF(Расход[[#This Row],[Сотрудник]]="","",LOOKUP(Расход[[#This Row],[Сотрудник]],Сотрудники[],Сотрудники[Табельный номер]))</f>
        <v>4573</v>
      </c>
      <c r="L4" s="13" t="str">
        <f>IF(Расход[[#This Row],[Сотрудник]]="","",LOOKUP(Расход[[#This Row],[Сотрудник]],Сотрудники[],Сотрудники[Должность]))</f>
        <v>Водитель</v>
      </c>
      <c r="M4" s="13" t="s">
        <v>56</v>
      </c>
      <c r="N4" s="13" t="str">
        <f>IF(Расход[[#This Row],[ГСМ]]="","",LOOKUP(Расход[[#This Row],[ГСМ]],ГСМ[],ГСМ[Обозначение]))</f>
        <v>Бензин АИ-76-К3, л</v>
      </c>
      <c r="O4" s="13" t="str">
        <f>IF(Расход[[#This Row],[ГСМ]]="","",LOOKUP(Расход[[#This Row],[ГСМ]],ГСМ[],ГСМ[Марка]))</f>
        <v>АИ-76-К3</v>
      </c>
      <c r="P4" s="14" t="str">
        <f>IF(Расход[[#This Row],[ГСМ]]="","",LOOKUP(Расход[[#This Row],[ГСМ]],ГСМ[],ГСМ[Ед.изм.]))</f>
        <v>л</v>
      </c>
      <c r="Q4" s="28">
        <v>100</v>
      </c>
      <c r="R4" s="29">
        <v>55</v>
      </c>
      <c r="S4" s="29">
        <f>IF(Расход[[#This Row],[Кол-во]]="","",Расход[[#This Row],[Кол-во]]*Расход[[#This Row],[Цена]])</f>
        <v>5500</v>
      </c>
      <c r="T4" s="44"/>
      <c r="U4" s="31">
        <f>IF(Расход[[#This Row],[Дата]]="","",'Оборотка-Склад'!$E$3-Расход[[#This Row],[Дата]])</f>
        <v>-1</v>
      </c>
      <c r="V4" s="31">
        <f>IF(Расход[[#This Row],[Дата]]="","",'Оборотка-Склад'!$G$3-Расход[[#This Row],[Дата]])</f>
        <v>1</v>
      </c>
    </row>
    <row r="5" spans="1:22" x14ac:dyDescent="0.3">
      <c r="A5" s="109"/>
      <c r="B5" s="109"/>
      <c r="C5" s="42" t="s">
        <v>62</v>
      </c>
      <c r="D5" s="43">
        <f>IF(Расход[[#This Row],[Номер ведомости]]="","",LOOKUP(Расход[[#This Row],[Номер ведомости]],Ведомость_реестр[],Ведомость_реестр[Дата]))</f>
        <v>45293</v>
      </c>
      <c r="E5" s="13" t="s">
        <v>67</v>
      </c>
      <c r="F5" s="13" t="str">
        <f>IF(Расход[[#This Row],[Автомобиль]]="","",LOOKUP(Расход[[#This Row],[Автомобиль]],Автомобили[],Автомобили[Модель]))</f>
        <v>Волга С40</v>
      </c>
      <c r="G5" s="13" t="str">
        <f>IF(Расход[[#This Row],[Автомобиль]]="","",LOOKUP(Расход[[#This Row],[Автомобиль]],Автомобили[],Автомобили[Номер]))</f>
        <v>Р221РВ 178</v>
      </c>
      <c r="H5" s="13" t="s">
        <v>64</v>
      </c>
      <c r="I5" s="13" t="s">
        <v>68</v>
      </c>
      <c r="J5" s="13" t="str">
        <f>IF(Расход[[#This Row],[Сотрудник]]="","",LOOKUP(Расход[[#This Row],[Сотрудник]],Сотрудники[],Сотрудники[Ф.И.О.]))</f>
        <v>Иванов С.Н.</v>
      </c>
      <c r="K5" s="13" t="str">
        <f>IF(Расход[[#This Row],[Сотрудник]]="","",LOOKUP(Расход[[#This Row],[Сотрудник]],Сотрудники[],Сотрудники[Табельный номер]))</f>
        <v>0115</v>
      </c>
      <c r="L5" s="13" t="str">
        <f>IF(Расход[[#This Row],[Сотрудник]]="","",LOOKUP(Расход[[#This Row],[Сотрудник]],Сотрудники[],Сотрудники[Должность]))</f>
        <v>Водитель</v>
      </c>
      <c r="M5" s="13" t="s">
        <v>56</v>
      </c>
      <c r="N5" s="13" t="str">
        <f>IF(Расход[[#This Row],[ГСМ]]="","",LOOKUP(Расход[[#This Row],[ГСМ]],ГСМ[],ГСМ[Обозначение]))</f>
        <v>Бензин АИ-76-К3, л</v>
      </c>
      <c r="O5" s="13" t="str">
        <f>IF(Расход[[#This Row],[ГСМ]]="","",LOOKUP(Расход[[#This Row],[ГСМ]],ГСМ[],ГСМ[Марка]))</f>
        <v>АИ-76-К3</v>
      </c>
      <c r="P5" s="14" t="str">
        <f>IF(Расход[[#This Row],[ГСМ]]="","",LOOKUP(Расход[[#This Row],[ГСМ]],ГСМ[],ГСМ[Ед.изм.]))</f>
        <v>л</v>
      </c>
      <c r="Q5" s="28">
        <v>60</v>
      </c>
      <c r="R5" s="29">
        <v>60</v>
      </c>
      <c r="S5" s="29">
        <f>IF(Расход[[#This Row],[Кол-во]]="","",Расход[[#This Row],[Кол-во]]*Расход[[#This Row],[Цена]])</f>
        <v>3600</v>
      </c>
      <c r="T5" s="44"/>
      <c r="U5" s="31">
        <f>IF(Расход[[#This Row],[Дата]]="","",'Оборотка-Склад'!$E$3-Расход[[#This Row],[Дата]])</f>
        <v>-1</v>
      </c>
      <c r="V5" s="31">
        <f>IF(Расход[[#This Row],[Дата]]="","",'Оборотка-Склад'!$G$3-Расход[[#This Row],[Дата]])</f>
        <v>1</v>
      </c>
    </row>
    <row r="6" spans="1:22" x14ac:dyDescent="0.3">
      <c r="A6" s="109"/>
      <c r="B6" s="109"/>
      <c r="C6" s="42"/>
      <c r="D6" s="43" t="str">
        <f>IF(Расход[[#This Row],[Номер ведомости]]="","",LOOKUP(Расход[[#This Row],[Номер ведомости]],Ведомость_реестр[],Ведомость_реестр[Дата]))</f>
        <v/>
      </c>
      <c r="E6" s="47"/>
      <c r="F6" s="13" t="str">
        <f>IF(Расход[[#This Row],[Автомобиль]]="","",LOOKUP(Расход[[#This Row],[Автомобиль]],Автомобили[],Автомобили[Модель]))</f>
        <v/>
      </c>
      <c r="G6" s="13" t="str">
        <f>IF(Расход[[#This Row],[Автомобиль]]="","",LOOKUP(Расход[[#This Row],[Автомобиль]],Автомобили[],Автомобили[Номер]))</f>
        <v/>
      </c>
      <c r="H6" s="47"/>
      <c r="I6" s="47"/>
      <c r="J6" s="13" t="str">
        <f>IF(Расход[[#This Row],[Сотрудник]]="","",LOOKUP(Расход[[#This Row],[Сотрудник]],Сотрудники[],Сотрудники[Ф.И.О.]))</f>
        <v/>
      </c>
      <c r="K6" s="13" t="str">
        <f>IF(Расход[[#This Row],[Сотрудник]]="","",LOOKUP(Расход[[#This Row],[Сотрудник]],Сотрудники[],Сотрудники[Табельный номер]))</f>
        <v/>
      </c>
      <c r="L6" s="13" t="str">
        <f>IF(Расход[[#This Row],[Сотрудник]]="","",LOOKUP(Расход[[#This Row],[Сотрудник]],Сотрудники[],Сотрудники[Должность]))</f>
        <v/>
      </c>
      <c r="M6" s="47"/>
      <c r="N6" s="13" t="str">
        <f>IF(Расход[[#This Row],[ГСМ]]="","",LOOKUP(Расход[[#This Row],[ГСМ]],ГСМ[],ГСМ[Обозначение]))</f>
        <v/>
      </c>
      <c r="O6" s="13" t="str">
        <f>IF(Расход[[#This Row],[ГСМ]]="","",LOOKUP(Расход[[#This Row],[ГСМ]],ГСМ[],ГСМ[Марка]))</f>
        <v/>
      </c>
      <c r="P6" s="14" t="str">
        <f>IF(Расход[[#This Row],[ГСМ]]="","",LOOKUP(Расход[[#This Row],[ГСМ]],ГСМ[],ГСМ[Ед.изм.]))</f>
        <v/>
      </c>
      <c r="Q6" s="33"/>
      <c r="R6" s="34"/>
      <c r="S6" s="29" t="str">
        <f>IF(Расход[[#This Row],[Кол-во]]="","",Расход[[#This Row],[Кол-во]]*Расход[[#This Row],[Цена]])</f>
        <v/>
      </c>
      <c r="T6" s="48"/>
      <c r="U6" s="31" t="str">
        <f>IF(Расход[[#This Row],[Дата]]="","",'Оборотка-Склад'!$E$3-Расход[[#This Row],[Дата]])</f>
        <v/>
      </c>
      <c r="V6" s="31" t="str">
        <f>IF(Расход[[#This Row],[Дата]]="","",'Оборотка-Склад'!$G$3-Расход[[#This Row],[Дата]])</f>
        <v/>
      </c>
    </row>
    <row r="7" spans="1:22" x14ac:dyDescent="0.3">
      <c r="A7" s="109"/>
      <c r="B7" s="109"/>
      <c r="C7" s="42"/>
      <c r="D7" s="43" t="str">
        <f>IF(Расход[[#This Row],[Номер ведомости]]="","",LOOKUP(Расход[[#This Row],[Номер ведомости]],Ведомость_реестр[],Ведомость_реестр[Дата]))</f>
        <v/>
      </c>
      <c r="E7" s="47"/>
      <c r="F7" s="47" t="str">
        <f>IF(Расход[[#This Row],[Автомобиль]]="","",LOOKUP(Расход[[#This Row],[Автомобиль]],Автомобили[],Автомобили[Модель]))</f>
        <v/>
      </c>
      <c r="G7" s="47" t="str">
        <f>IF(Расход[[#This Row],[Автомобиль]]="","",LOOKUP(Расход[[#This Row],[Автомобиль]],Автомобили[],Автомобили[Номер]))</f>
        <v/>
      </c>
      <c r="H7" s="47"/>
      <c r="I7" s="47"/>
      <c r="J7" s="13" t="str">
        <f>IF(Расход[[#This Row],[Сотрудник]]="","",LOOKUP(Расход[[#This Row],[Сотрудник]],Сотрудники[],Сотрудники[Ф.И.О.]))</f>
        <v/>
      </c>
      <c r="K7" s="13" t="str">
        <f>IF(Расход[[#This Row],[Сотрудник]]="","",LOOKUP(Расход[[#This Row],[Сотрудник]],Сотрудники[],Сотрудники[Табельный номер]))</f>
        <v/>
      </c>
      <c r="L7" s="13" t="str">
        <f>IF(Расход[[#This Row],[Сотрудник]]="","",LOOKUP(Расход[[#This Row],[Сотрудник]],Сотрудники[],Сотрудники[Должность]))</f>
        <v/>
      </c>
      <c r="M7" s="47"/>
      <c r="N7" s="13" t="str">
        <f>IF(Расход[[#This Row],[ГСМ]]="","",LOOKUP(Расход[[#This Row],[ГСМ]],ГСМ[],ГСМ[Обозначение]))</f>
        <v/>
      </c>
      <c r="O7" s="13" t="str">
        <f>IF(Расход[[#This Row],[ГСМ]]="","",LOOKUP(Расход[[#This Row],[ГСМ]],ГСМ[],ГСМ[Марка]))</f>
        <v/>
      </c>
      <c r="P7" s="14" t="str">
        <f>IF(Расход[[#This Row],[ГСМ]]="","",LOOKUP(Расход[[#This Row],[ГСМ]],ГСМ[],ГСМ[Ед.изм.]))</f>
        <v/>
      </c>
      <c r="Q7" s="33"/>
      <c r="R7" s="34"/>
      <c r="S7" s="29" t="str">
        <f>IF(Расход[[#This Row],[Кол-во]]="","",Расход[[#This Row],[Кол-во]]*Расход[[#This Row],[Цена]])</f>
        <v/>
      </c>
      <c r="T7" s="22"/>
      <c r="U7" s="36" t="str">
        <f>IF(Расход[[#This Row],[Дата]]="","",'Оборотка-Склад'!$E$3-Расход[[#This Row],[Дата]])</f>
        <v/>
      </c>
      <c r="V7" s="49" t="str">
        <f>IF(Расход[[#This Row],[Дата]]="","",'Оборотка-Склад'!$G$3-Расход[[#This Row],[Дата]])</f>
        <v/>
      </c>
    </row>
    <row r="8" spans="1:22" x14ac:dyDescent="0.3">
      <c r="A8" s="109"/>
      <c r="B8" s="109"/>
      <c r="C8" s="42"/>
      <c r="D8" s="43" t="str">
        <f>IF(Расход[[#This Row],[Номер ведомости]]="","",LOOKUP(Расход[[#This Row],[Номер ведомости]],Ведомость_реестр[],Ведомость_реестр[Дата]))</f>
        <v/>
      </c>
      <c r="E8" s="13"/>
      <c r="F8" s="13" t="str">
        <f>IF(Расход[[#This Row],[Автомобиль]]="","",LOOKUP(Расход[[#This Row],[Автомобиль]],Автомобили[],Автомобили[Модель]))</f>
        <v/>
      </c>
      <c r="G8" s="13" t="str">
        <f>IF(Расход[[#This Row],[Автомобиль]]="","",LOOKUP(Расход[[#This Row],[Автомобиль]],Автомобили[],Автомобили[Номер]))</f>
        <v/>
      </c>
      <c r="H8" s="13"/>
      <c r="I8" s="13"/>
      <c r="J8" s="13" t="str">
        <f>IF(Расход[[#This Row],[Сотрудник]]="","",LOOKUP(Расход[[#This Row],[Сотрудник]],Сотрудники[],Сотрудники[Ф.И.О.]))</f>
        <v/>
      </c>
      <c r="K8" s="13" t="str">
        <f>IF(Расход[[#This Row],[Сотрудник]]="","",LOOKUP(Расход[[#This Row],[Сотрудник]],Сотрудники[],Сотрудники[Табельный номер]))</f>
        <v/>
      </c>
      <c r="L8" s="13" t="str">
        <f>IF(Расход[[#This Row],[Сотрудник]]="","",LOOKUP(Расход[[#This Row],[Сотрудник]],Сотрудники[],Сотрудники[Должность]))</f>
        <v/>
      </c>
      <c r="M8" s="13"/>
      <c r="N8" s="13" t="str">
        <f>IF(Расход[[#This Row],[ГСМ]]="","",LOOKUP(Расход[[#This Row],[ГСМ]],ГСМ[],ГСМ[Обозначение]))</f>
        <v/>
      </c>
      <c r="O8" s="13" t="str">
        <f>IF(Расход[[#This Row],[ГСМ]]="","",LOOKUP(Расход[[#This Row],[ГСМ]],ГСМ[],ГСМ[Марка]))</f>
        <v/>
      </c>
      <c r="P8" s="14" t="str">
        <f>IF(Расход[[#This Row],[ГСМ]]="","",LOOKUP(Расход[[#This Row],[ГСМ]],ГСМ[],ГСМ[Ед.изм.]))</f>
        <v/>
      </c>
      <c r="Q8" s="28"/>
      <c r="R8" s="29"/>
      <c r="S8" s="29" t="str">
        <f>IF(Расход[[#This Row],[Кол-во]]="","",Расход[[#This Row],[Кол-во]]*Расход[[#This Row],[Цена]])</f>
        <v/>
      </c>
      <c r="T8" s="18"/>
      <c r="U8" s="27" t="str">
        <f>IF(Расход[[#This Row],[Дата]]="","",'Оборотка-Склад'!$E$3-Расход[[#This Row],[Дата]])</f>
        <v/>
      </c>
      <c r="V8" s="107" t="str">
        <f>IF(Расход[[#This Row],[Дата]]="","",'Оборотка-Склад'!$G$3-Расход[[#This Row],[Дата]])</f>
        <v/>
      </c>
    </row>
    <row r="9" spans="1:22" x14ac:dyDescent="0.3">
      <c r="A9" s="109"/>
      <c r="B9" s="109"/>
      <c r="C9" s="42"/>
      <c r="D9" s="43" t="str">
        <f>IF(Расход[[#This Row],[Номер ведомости]]="","",LOOKUP(Расход[[#This Row],[Номер ведомости]],Ведомость_реестр[],Ведомость_реестр[Дата]))</f>
        <v/>
      </c>
      <c r="E9" s="13"/>
      <c r="F9" s="13" t="str">
        <f>IF(Расход[[#This Row],[Автомобиль]]="","",LOOKUP(Расход[[#This Row],[Автомобиль]],Автомобили[],Автомобили[Модель]))</f>
        <v/>
      </c>
      <c r="G9" s="13" t="str">
        <f>IF(Расход[[#This Row],[Автомобиль]]="","",LOOKUP(Расход[[#This Row],[Автомобиль]],Автомобили[],Автомобили[Номер]))</f>
        <v/>
      </c>
      <c r="H9" s="13"/>
      <c r="I9" s="13"/>
      <c r="J9" s="13" t="str">
        <f>IF(Расход[[#This Row],[Сотрудник]]="","",LOOKUP(Расход[[#This Row],[Сотрудник]],Сотрудники[],Сотрудники[Ф.И.О.]))</f>
        <v/>
      </c>
      <c r="K9" s="13" t="str">
        <f>IF(Расход[[#This Row],[Сотрудник]]="","",LOOKUP(Расход[[#This Row],[Сотрудник]],Сотрудники[],Сотрудники[Табельный номер]))</f>
        <v/>
      </c>
      <c r="L9" s="13" t="str">
        <f>IF(Расход[[#This Row],[Сотрудник]]="","",LOOKUP(Расход[[#This Row],[Сотрудник]],Сотрудники[],Сотрудники[Должность]))</f>
        <v/>
      </c>
      <c r="M9" s="13"/>
      <c r="N9" s="13" t="str">
        <f>IF(Расход[[#This Row],[ГСМ]]="","",LOOKUP(Расход[[#This Row],[ГСМ]],ГСМ[],ГСМ[Обозначение]))</f>
        <v/>
      </c>
      <c r="O9" s="13" t="str">
        <f>IF(Расход[[#This Row],[ГСМ]]="","",LOOKUP(Расход[[#This Row],[ГСМ]],ГСМ[],ГСМ[Марка]))</f>
        <v/>
      </c>
      <c r="P9" s="14" t="str">
        <f>IF(Расход[[#This Row],[ГСМ]]="","",LOOKUP(Расход[[#This Row],[ГСМ]],ГСМ[],ГСМ[Ед.изм.]))</f>
        <v/>
      </c>
      <c r="Q9" s="28"/>
      <c r="R9" s="29"/>
      <c r="S9" s="29" t="str">
        <f>IF(Расход[[#This Row],[Кол-во]]="","",Расход[[#This Row],[Кол-во]]*Расход[[#This Row],[Цена]])</f>
        <v/>
      </c>
      <c r="T9" s="18"/>
      <c r="U9" s="27" t="str">
        <f>IF(Расход[[#This Row],[Дата]]="","",'Оборотка-Склад'!$E$3-Расход[[#This Row],[Дата]])</f>
        <v/>
      </c>
      <c r="V9" s="107" t="str">
        <f>IF(Расход[[#This Row],[Дата]]="","",'Оборотка-Склад'!$G$3-Расход[[#This Row],[Дата]])</f>
        <v/>
      </c>
    </row>
    <row r="10" spans="1:22" x14ac:dyDescent="0.3">
      <c r="A10" s="109"/>
      <c r="B10" s="109"/>
      <c r="C10" s="42"/>
      <c r="D10" s="43" t="str">
        <f>IF(Расход[[#This Row],[Номер ведомости]]="","",LOOKUP(Расход[[#This Row],[Номер ведомости]],Ведомость_реестр[],Ведомость_реестр[Дата]))</f>
        <v/>
      </c>
      <c r="E10" s="13"/>
      <c r="F10" s="13" t="str">
        <f>IF(Расход[[#This Row],[Автомобиль]]="","",LOOKUP(Расход[[#This Row],[Автомобиль]],Автомобили[],Автомобили[Модель]))</f>
        <v/>
      </c>
      <c r="G10" s="13" t="str">
        <f>IF(Расход[[#This Row],[Автомобиль]]="","",LOOKUP(Расход[[#This Row],[Автомобиль]],Автомобили[],Автомобили[Номер]))</f>
        <v/>
      </c>
      <c r="H10" s="13"/>
      <c r="I10" s="13"/>
      <c r="J10" s="13" t="str">
        <f>IF(Расход[[#This Row],[Сотрудник]]="","",LOOKUP(Расход[[#This Row],[Сотрудник]],Сотрудники[],Сотрудники[Ф.И.О.]))</f>
        <v/>
      </c>
      <c r="K10" s="13" t="str">
        <f>IF(Расход[[#This Row],[Сотрудник]]="","",LOOKUP(Расход[[#This Row],[Сотрудник]],Сотрудники[],Сотрудники[Табельный номер]))</f>
        <v/>
      </c>
      <c r="L10" s="13" t="str">
        <f>IF(Расход[[#This Row],[Сотрудник]]="","",LOOKUP(Расход[[#This Row],[Сотрудник]],Сотрудники[],Сотрудники[Должность]))</f>
        <v/>
      </c>
      <c r="M10" s="13"/>
      <c r="N10" s="13" t="str">
        <f>IF(Расход[[#This Row],[ГСМ]]="","",LOOKUP(Расход[[#This Row],[ГСМ]],ГСМ[],ГСМ[Обозначение]))</f>
        <v/>
      </c>
      <c r="O10" s="13" t="str">
        <f>IF(Расход[[#This Row],[ГСМ]]="","",LOOKUP(Расход[[#This Row],[ГСМ]],ГСМ[],ГСМ[Марка]))</f>
        <v/>
      </c>
      <c r="P10" s="14" t="str">
        <f>IF(Расход[[#This Row],[ГСМ]]="","",LOOKUP(Расход[[#This Row],[ГСМ]],ГСМ[],ГСМ[Ед.изм.]))</f>
        <v/>
      </c>
      <c r="Q10" s="28"/>
      <c r="R10" s="29"/>
      <c r="S10" s="29" t="str">
        <f>IF(Расход[[#This Row],[Кол-во]]="","",Расход[[#This Row],[Кол-во]]*Расход[[#This Row],[Цена]])</f>
        <v/>
      </c>
      <c r="T10" s="18"/>
      <c r="U10" s="27" t="str">
        <f>IF(Расход[[#This Row],[Дата]]="","",'Оборотка-Склад'!$E$3-Расход[[#This Row],[Дата]])</f>
        <v/>
      </c>
      <c r="V10" s="107" t="str">
        <f>IF(Расход[[#This Row],[Дата]]="","",'Оборотка-Склад'!$G$3-Расход[[#This Row],[Дата]])</f>
        <v/>
      </c>
    </row>
    <row r="11" spans="1:22" x14ac:dyDescent="0.3">
      <c r="A11" s="109"/>
      <c r="B11" s="109"/>
      <c r="C11" s="42"/>
      <c r="D11" s="43" t="str">
        <f>IF(Расход[[#This Row],[Номер ведомости]]="","",LOOKUP(Расход[[#This Row],[Номер ведомости]],Ведомость_реестр[],Ведомость_реестр[Дата]))</f>
        <v/>
      </c>
      <c r="E11" s="13"/>
      <c r="F11" s="13" t="str">
        <f>IF(Расход[[#This Row],[Автомобиль]]="","",LOOKUP(Расход[[#This Row],[Автомобиль]],Автомобили[],Автомобили[Модель]))</f>
        <v/>
      </c>
      <c r="G11" s="13" t="str">
        <f>IF(Расход[[#This Row],[Автомобиль]]="","",LOOKUP(Расход[[#This Row],[Автомобиль]],Автомобили[],Автомобили[Номер]))</f>
        <v/>
      </c>
      <c r="H11" s="13"/>
      <c r="I11" s="13"/>
      <c r="J11" s="13" t="str">
        <f>IF(Расход[[#This Row],[Сотрудник]]="","",LOOKUP(Расход[[#This Row],[Сотрудник]],Сотрудники[],Сотрудники[Ф.И.О.]))</f>
        <v/>
      </c>
      <c r="K11" s="13" t="str">
        <f>IF(Расход[[#This Row],[Сотрудник]]="","",LOOKUP(Расход[[#This Row],[Сотрудник]],Сотрудники[],Сотрудники[Табельный номер]))</f>
        <v/>
      </c>
      <c r="L11" s="13" t="str">
        <f>IF(Расход[[#This Row],[Сотрудник]]="","",LOOKUP(Расход[[#This Row],[Сотрудник]],Сотрудники[],Сотрудники[Должность]))</f>
        <v/>
      </c>
      <c r="M11" s="13"/>
      <c r="N11" s="13" t="str">
        <f>IF(Расход[[#This Row],[ГСМ]]="","",LOOKUP(Расход[[#This Row],[ГСМ]],ГСМ[],ГСМ[Обозначение]))</f>
        <v/>
      </c>
      <c r="O11" s="13" t="str">
        <f>IF(Расход[[#This Row],[ГСМ]]="","",LOOKUP(Расход[[#This Row],[ГСМ]],ГСМ[],ГСМ[Марка]))</f>
        <v/>
      </c>
      <c r="P11" s="14" t="str">
        <f>IF(Расход[[#This Row],[ГСМ]]="","",LOOKUP(Расход[[#This Row],[ГСМ]],ГСМ[],ГСМ[Ед.изм.]))</f>
        <v/>
      </c>
      <c r="Q11" s="28"/>
      <c r="R11" s="29"/>
      <c r="S11" s="29" t="str">
        <f>IF(Расход[[#This Row],[Кол-во]]="","",Расход[[#This Row],[Кол-во]]*Расход[[#This Row],[Цена]])</f>
        <v/>
      </c>
      <c r="T11" s="18"/>
      <c r="U11" s="27" t="str">
        <f>IF(Расход[[#This Row],[Дата]]="","",'Оборотка-Склад'!$E$3-Расход[[#This Row],[Дата]])</f>
        <v/>
      </c>
      <c r="V11" s="107" t="str">
        <f>IF(Расход[[#This Row],[Дата]]="","",'Оборотка-Склад'!$G$3-Расход[[#This Row],[Дата]])</f>
        <v/>
      </c>
    </row>
    <row r="12" spans="1:22" x14ac:dyDescent="0.3">
      <c r="A12" s="109"/>
      <c r="B12" s="109"/>
      <c r="C12" s="42"/>
      <c r="D12" s="43" t="str">
        <f>IF(Расход[[#This Row],[Номер ведомости]]="","",LOOKUP(Расход[[#This Row],[Номер ведомости]],Ведомость_реестр[],Ведомость_реестр[Дата]))</f>
        <v/>
      </c>
      <c r="E12" s="13"/>
      <c r="F12" s="13" t="str">
        <f>IF(Расход[[#This Row],[Автомобиль]]="","",LOOKUP(Расход[[#This Row],[Автомобиль]],Автомобили[],Автомобили[Модель]))</f>
        <v/>
      </c>
      <c r="G12" s="13" t="str">
        <f>IF(Расход[[#This Row],[Автомобиль]]="","",LOOKUP(Расход[[#This Row],[Автомобиль]],Автомобили[],Автомобили[Номер]))</f>
        <v/>
      </c>
      <c r="H12" s="13"/>
      <c r="I12" s="13"/>
      <c r="J12" s="13" t="str">
        <f>IF(Расход[[#This Row],[Сотрудник]]="","",LOOKUP(Расход[[#This Row],[Сотрудник]],Сотрудники[],Сотрудники[Ф.И.О.]))</f>
        <v/>
      </c>
      <c r="K12" s="13" t="str">
        <f>IF(Расход[[#This Row],[Сотрудник]]="","",LOOKUP(Расход[[#This Row],[Сотрудник]],Сотрудники[],Сотрудники[Табельный номер]))</f>
        <v/>
      </c>
      <c r="L12" s="13" t="str">
        <f>IF(Расход[[#This Row],[Сотрудник]]="","",LOOKUP(Расход[[#This Row],[Сотрудник]],Сотрудники[],Сотрудники[Должность]))</f>
        <v/>
      </c>
      <c r="M12" s="13"/>
      <c r="N12" s="13" t="str">
        <f>IF(Расход[[#This Row],[ГСМ]]="","",LOOKUP(Расход[[#This Row],[ГСМ]],ГСМ[],ГСМ[Обозначение]))</f>
        <v/>
      </c>
      <c r="O12" s="13" t="str">
        <f>IF(Расход[[#This Row],[ГСМ]]="","",LOOKUP(Расход[[#This Row],[ГСМ]],ГСМ[],ГСМ[Марка]))</f>
        <v/>
      </c>
      <c r="P12" s="14" t="str">
        <f>IF(Расход[[#This Row],[ГСМ]]="","",LOOKUP(Расход[[#This Row],[ГСМ]],ГСМ[],ГСМ[Ед.изм.]))</f>
        <v/>
      </c>
      <c r="Q12" s="28"/>
      <c r="R12" s="29"/>
      <c r="S12" s="29" t="str">
        <f>IF(Расход[[#This Row],[Кол-во]]="","",Расход[[#This Row],[Кол-во]]*Расход[[#This Row],[Цена]])</f>
        <v/>
      </c>
      <c r="T12" s="18"/>
      <c r="U12" s="27" t="str">
        <f>IF(Расход[[#This Row],[Дата]]="","",'Оборотка-Склад'!$E$3-Расход[[#This Row],[Дата]])</f>
        <v/>
      </c>
      <c r="V12" s="107" t="str">
        <f>IF(Расход[[#This Row],[Дата]]="","",'Оборотка-Склад'!$G$3-Расход[[#This Row],[Дата]])</f>
        <v/>
      </c>
    </row>
    <row r="13" spans="1:22" x14ac:dyDescent="0.3">
      <c r="A13" s="109"/>
      <c r="B13" s="109"/>
      <c r="C13" s="42"/>
      <c r="D13" s="43" t="str">
        <f>IF(Расход[[#This Row],[Номер ведомости]]="","",LOOKUP(Расход[[#This Row],[Номер ведомости]],Ведомость_реестр[],Ведомость_реестр[Дата]))</f>
        <v/>
      </c>
      <c r="E13" s="13"/>
      <c r="F13" s="13" t="str">
        <f>IF(Расход[[#This Row],[Автомобиль]]="","",LOOKUP(Расход[[#This Row],[Автомобиль]],Автомобили[],Автомобили[Модель]))</f>
        <v/>
      </c>
      <c r="G13" s="13" t="str">
        <f>IF(Расход[[#This Row],[Автомобиль]]="","",LOOKUP(Расход[[#This Row],[Автомобиль]],Автомобили[],Автомобили[Номер]))</f>
        <v/>
      </c>
      <c r="H13" s="13"/>
      <c r="I13" s="13"/>
      <c r="J13" s="13" t="str">
        <f>IF(Расход[[#This Row],[Сотрудник]]="","",LOOKUP(Расход[[#This Row],[Сотрудник]],Сотрудники[],Сотрудники[Ф.И.О.]))</f>
        <v/>
      </c>
      <c r="K13" s="13" t="str">
        <f>IF(Расход[[#This Row],[Сотрудник]]="","",LOOKUP(Расход[[#This Row],[Сотрудник]],Сотрудники[],Сотрудники[Табельный номер]))</f>
        <v/>
      </c>
      <c r="L13" s="13" t="str">
        <f>IF(Расход[[#This Row],[Сотрудник]]="","",LOOKUP(Расход[[#This Row],[Сотрудник]],Сотрудники[],Сотрудники[Должность]))</f>
        <v/>
      </c>
      <c r="M13" s="13"/>
      <c r="N13" s="13" t="str">
        <f>IF(Расход[[#This Row],[ГСМ]]="","",LOOKUP(Расход[[#This Row],[ГСМ]],ГСМ[],ГСМ[Обозначение]))</f>
        <v/>
      </c>
      <c r="O13" s="13" t="str">
        <f>IF(Расход[[#This Row],[ГСМ]]="","",LOOKUP(Расход[[#This Row],[ГСМ]],ГСМ[],ГСМ[Марка]))</f>
        <v/>
      </c>
      <c r="P13" s="14" t="str">
        <f>IF(Расход[[#This Row],[ГСМ]]="","",LOOKUP(Расход[[#This Row],[ГСМ]],ГСМ[],ГСМ[Ед.изм.]))</f>
        <v/>
      </c>
      <c r="Q13" s="28"/>
      <c r="R13" s="29"/>
      <c r="S13" s="29" t="str">
        <f>IF(Расход[[#This Row],[Кол-во]]="","",Расход[[#This Row],[Кол-во]]*Расход[[#This Row],[Цена]])</f>
        <v/>
      </c>
      <c r="T13" s="18"/>
      <c r="U13" s="27" t="str">
        <f>IF(Расход[[#This Row],[Дата]]="","",'Оборотка-Склад'!$E$3-Расход[[#This Row],[Дата]])</f>
        <v/>
      </c>
      <c r="V13" s="107" t="str">
        <f>IF(Расход[[#This Row],[Дата]]="","",'Оборотка-Склад'!$G$3-Расход[[#This Row],[Дата]])</f>
        <v/>
      </c>
    </row>
    <row r="14" spans="1:22" x14ac:dyDescent="0.3">
      <c r="A14" s="109"/>
      <c r="B14" s="109"/>
      <c r="C14" s="42"/>
      <c r="D14" s="43" t="str">
        <f>IF(Расход[[#This Row],[Номер ведомости]]="","",LOOKUP(Расход[[#This Row],[Номер ведомости]],Ведомость_реестр[],Ведомость_реестр[Дата]))</f>
        <v/>
      </c>
      <c r="E14" s="13"/>
      <c r="F14" s="13" t="str">
        <f>IF(Расход[[#This Row],[Автомобиль]]="","",LOOKUP(Расход[[#This Row],[Автомобиль]],Автомобили[],Автомобили[Модель]))</f>
        <v/>
      </c>
      <c r="G14" s="13" t="str">
        <f>IF(Расход[[#This Row],[Автомобиль]]="","",LOOKUP(Расход[[#This Row],[Автомобиль]],Автомобили[],Автомобили[Номер]))</f>
        <v/>
      </c>
      <c r="H14" s="13"/>
      <c r="I14" s="13"/>
      <c r="J14" s="13" t="str">
        <f>IF(Расход[[#This Row],[Сотрудник]]="","",LOOKUP(Расход[[#This Row],[Сотрудник]],Сотрудники[],Сотрудники[Ф.И.О.]))</f>
        <v/>
      </c>
      <c r="K14" s="13" t="str">
        <f>IF(Расход[[#This Row],[Сотрудник]]="","",LOOKUP(Расход[[#This Row],[Сотрудник]],Сотрудники[],Сотрудники[Табельный номер]))</f>
        <v/>
      </c>
      <c r="L14" s="13" t="str">
        <f>IF(Расход[[#This Row],[Сотрудник]]="","",LOOKUP(Расход[[#This Row],[Сотрудник]],Сотрудники[],Сотрудники[Должность]))</f>
        <v/>
      </c>
      <c r="M14" s="13"/>
      <c r="N14" s="13" t="str">
        <f>IF(Расход[[#This Row],[ГСМ]]="","",LOOKUP(Расход[[#This Row],[ГСМ]],ГСМ[],ГСМ[Обозначение]))</f>
        <v/>
      </c>
      <c r="O14" s="13" t="str">
        <f>IF(Расход[[#This Row],[ГСМ]]="","",LOOKUP(Расход[[#This Row],[ГСМ]],ГСМ[],ГСМ[Марка]))</f>
        <v/>
      </c>
      <c r="P14" s="14" t="str">
        <f>IF(Расход[[#This Row],[ГСМ]]="","",LOOKUP(Расход[[#This Row],[ГСМ]],ГСМ[],ГСМ[Ед.изм.]))</f>
        <v/>
      </c>
      <c r="Q14" s="28"/>
      <c r="R14" s="29"/>
      <c r="S14" s="29" t="str">
        <f>IF(Расход[[#This Row],[Кол-во]]="","",Расход[[#This Row],[Кол-во]]*Расход[[#This Row],[Цена]])</f>
        <v/>
      </c>
      <c r="T14" s="18"/>
      <c r="U14" s="27" t="str">
        <f>IF(Расход[[#This Row],[Дата]]="","",'Оборотка-Склад'!$E$3-Расход[[#This Row],[Дата]])</f>
        <v/>
      </c>
      <c r="V14" s="107" t="str">
        <f>IF(Расход[[#This Row],[Дата]]="","",'Оборотка-Склад'!$G$3-Расход[[#This Row],[Дата]])</f>
        <v/>
      </c>
    </row>
    <row r="15" spans="1:22" x14ac:dyDescent="0.3">
      <c r="A15" s="109"/>
      <c r="B15" s="109"/>
      <c r="C15" s="42"/>
      <c r="D15" s="43" t="str">
        <f>IF(Расход[[#This Row],[Номер ведомости]]="","",LOOKUP(Расход[[#This Row],[Номер ведомости]],Ведомость_реестр[],Ведомость_реестр[Дата]))</f>
        <v/>
      </c>
      <c r="E15" s="13"/>
      <c r="F15" s="13" t="str">
        <f>IF(Расход[[#This Row],[Автомобиль]]="","",LOOKUP(Расход[[#This Row],[Автомобиль]],Автомобили[],Автомобили[Модель]))</f>
        <v/>
      </c>
      <c r="G15" s="13" t="str">
        <f>IF(Расход[[#This Row],[Автомобиль]]="","",LOOKUP(Расход[[#This Row],[Автомобиль]],Автомобили[],Автомобили[Номер]))</f>
        <v/>
      </c>
      <c r="H15" s="13"/>
      <c r="I15" s="13"/>
      <c r="J15" s="13" t="str">
        <f>IF(Расход[[#This Row],[Сотрудник]]="","",LOOKUP(Расход[[#This Row],[Сотрудник]],Сотрудники[],Сотрудники[Ф.И.О.]))</f>
        <v/>
      </c>
      <c r="K15" s="13" t="str">
        <f>IF(Расход[[#This Row],[Сотрудник]]="","",LOOKUP(Расход[[#This Row],[Сотрудник]],Сотрудники[],Сотрудники[Табельный номер]))</f>
        <v/>
      </c>
      <c r="L15" s="13" t="str">
        <f>IF(Расход[[#This Row],[Сотрудник]]="","",LOOKUP(Расход[[#This Row],[Сотрудник]],Сотрудники[],Сотрудники[Должность]))</f>
        <v/>
      </c>
      <c r="M15" s="13"/>
      <c r="N15" s="13" t="str">
        <f>IF(Расход[[#This Row],[ГСМ]]="","",LOOKUP(Расход[[#This Row],[ГСМ]],ГСМ[],ГСМ[Обозначение]))</f>
        <v/>
      </c>
      <c r="O15" s="13" t="str">
        <f>IF(Расход[[#This Row],[ГСМ]]="","",LOOKUP(Расход[[#This Row],[ГСМ]],ГСМ[],ГСМ[Марка]))</f>
        <v/>
      </c>
      <c r="P15" s="14" t="str">
        <f>IF(Расход[[#This Row],[ГСМ]]="","",LOOKUP(Расход[[#This Row],[ГСМ]],ГСМ[],ГСМ[Ед.изм.]))</f>
        <v/>
      </c>
      <c r="Q15" s="28"/>
      <c r="R15" s="29"/>
      <c r="S15" s="29" t="str">
        <f>IF(Расход[[#This Row],[Кол-во]]="","",Расход[[#This Row],[Кол-во]]*Расход[[#This Row],[Цена]])</f>
        <v/>
      </c>
      <c r="T15" s="18"/>
      <c r="U15" s="27" t="str">
        <f>IF(Расход[[#This Row],[Дата]]="","",'Оборотка-Склад'!$E$3-Расход[[#This Row],[Дата]])</f>
        <v/>
      </c>
      <c r="V15" s="107" t="str">
        <f>IF(Расход[[#This Row],[Дата]]="","",'Оборотка-Склад'!$G$3-Расход[[#This Row],[Дата]])</f>
        <v/>
      </c>
    </row>
    <row r="16" spans="1:22" x14ac:dyDescent="0.3">
      <c r="A16" s="109"/>
      <c r="B16" s="109"/>
      <c r="C16" s="45"/>
      <c r="D16" s="46" t="str">
        <f>IF(Расход[[#This Row],[Номер ведомости]]="","",LOOKUP(Расход[[#This Row],[Номер ведомости]],Ведомость_реестр[],Ведомость_реестр[Дата]))</f>
        <v/>
      </c>
      <c r="E16" s="47"/>
      <c r="F16" s="47" t="str">
        <f>IF(Расход[[#This Row],[Автомобиль]]="","",LOOKUP(Расход[[#This Row],[Автомобиль]],Автомобили[],Автомобили[Модель]))</f>
        <v/>
      </c>
      <c r="G16" s="47" t="str">
        <f>IF(Расход[[#This Row],[Автомобиль]]="","",LOOKUP(Расход[[#This Row],[Автомобиль]],Автомобили[],Автомобили[Номер]))</f>
        <v/>
      </c>
      <c r="H16" s="47"/>
      <c r="I16" s="47"/>
      <c r="J16" s="47" t="str">
        <f>IF(Расход[[#This Row],[Сотрудник]]="","",LOOKUP(Расход[[#This Row],[Сотрудник]],Сотрудники[],Сотрудники[Ф.И.О.]))</f>
        <v/>
      </c>
      <c r="K16" s="47" t="str">
        <f>IF(Расход[[#This Row],[Сотрудник]]="","",LOOKUP(Расход[[#This Row],[Сотрудник]],Сотрудники[],Сотрудники[Табельный номер]))</f>
        <v/>
      </c>
      <c r="L16" s="47" t="str">
        <f>IF(Расход[[#This Row],[Сотрудник]]="","",LOOKUP(Расход[[#This Row],[Сотрудник]],Сотрудники[],Сотрудники[Должность]))</f>
        <v/>
      </c>
      <c r="M16" s="47"/>
      <c r="N16" s="47" t="str">
        <f>IF(Расход[[#This Row],[ГСМ]]="","",LOOKUP(Расход[[#This Row],[ГСМ]],ГСМ[],ГСМ[Обозначение]))</f>
        <v/>
      </c>
      <c r="O16" s="47" t="str">
        <f>IF(Расход[[#This Row],[ГСМ]]="","",LOOKUP(Расход[[#This Row],[ГСМ]],ГСМ[],ГСМ[Марка]))</f>
        <v/>
      </c>
      <c r="P16" s="24" t="str">
        <f>IF(Расход[[#This Row],[ГСМ]]="","",LOOKUP(Расход[[#This Row],[ГСМ]],ГСМ[],ГСМ[Ед.изм.]))</f>
        <v/>
      </c>
      <c r="Q16" s="33"/>
      <c r="R16" s="34"/>
      <c r="S16" s="34" t="str">
        <f>IF(Расход[[#This Row],[Кол-во]]="","",Расход[[#This Row],[Кол-во]]*Расход[[#This Row],[Цена]])</f>
        <v/>
      </c>
      <c r="T16" s="22"/>
      <c r="U16" s="36" t="str">
        <f>IF(Расход[[#This Row],[Дата]]="","",'Оборотка-Склад'!$E$3-Расход[[#This Row],[Дата]])</f>
        <v/>
      </c>
      <c r="V16" s="105" t="str">
        <f>IF(Расход[[#This Row],[Дата]]="","",'Оборотка-Склад'!$G$3-Расход[[#This Row],[Дата]])</f>
        <v/>
      </c>
    </row>
    <row r="17" spans="1:22" x14ac:dyDescent="0.25">
      <c r="A17" s="109"/>
      <c r="B17" s="109"/>
      <c r="C17" s="13" t="s">
        <v>14</v>
      </c>
      <c r="D17" s="13"/>
      <c r="E17" s="13"/>
      <c r="F17" s="13"/>
      <c r="G17" s="13"/>
      <c r="H17" s="13"/>
      <c r="I17" s="13"/>
      <c r="J17" s="13"/>
      <c r="K17" s="13"/>
      <c r="L17" s="13"/>
      <c r="M17" s="14">
        <f>SUBTOTAL(103,Расход[ГСМ])</f>
        <v>2</v>
      </c>
      <c r="N17" s="13"/>
      <c r="O17" s="13"/>
      <c r="P17" s="13"/>
      <c r="Q17" s="28">
        <f>SUBTOTAL(109,Расход[Кол-во])</f>
        <v>160</v>
      </c>
      <c r="R17" s="29"/>
      <c r="S17" s="29">
        <f>SUBTOTAL(109,Расход[Сумма])</f>
        <v>9100</v>
      </c>
      <c r="T17" s="13"/>
      <c r="U17" s="15"/>
      <c r="V17" s="15"/>
    </row>
  </sheetData>
  <dataValidations count="4">
    <dataValidation type="list" allowBlank="1" showInputMessage="1" showErrorMessage="1" error="В таблице ГСМ нет такой позиции" prompt="Выберите вариант из списка" sqref="M4:M16">
      <formula1>INDIRECT("ГСМ[Обозначение]")</formula1>
    </dataValidation>
    <dataValidation type="list" allowBlank="1" showInputMessage="1" showErrorMessage="1" error="В таблице Автомобили нет такой позиции" prompt="Выберите вариант из списка" sqref="E4:E16">
      <formula1>INDIRECT("Автомобили[Обозначение]")</formula1>
    </dataValidation>
    <dataValidation type="list" allowBlank="1" showInputMessage="1" showErrorMessage="1" error="В таблице Сотрудники нет такой позиции" prompt="Выберите вариант из списка" sqref="I4:I16">
      <formula1>INDIRECT("Сотрудники[Обозначение]")</formula1>
    </dataValidation>
    <dataValidation type="list" allowBlank="1" showInputMessage="1" showErrorMessage="1" error="В таблице &quot;Ведомость_реестр&quot; нет такой позиции" prompt="Выберите вариант из списка" sqref="C4:C16">
      <formula1>INDIRECT("Ведомость_реестр[Номер]")</formula1>
    </dataValidation>
  </dataValidations>
  <pageMargins left="0.7" right="0.7" top="0.75" bottom="0.75" header="0.3" footer="0.3"/>
  <ignoredErrors>
    <ignoredError sqref="C4:C5" numberStoredAsText="1"/>
  </ignoredErrors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showRowColHeaders="0" workbookViewId="0">
      <pane ySplit="5" topLeftCell="A6" activePane="bottomLeft" state="frozen"/>
      <selection pane="bottomLeft" activeCell="C16" sqref="C16"/>
    </sheetView>
  </sheetViews>
  <sheetFormatPr defaultRowHeight="13.2" x14ac:dyDescent="0.3"/>
  <cols>
    <col min="1" max="2" width="8.88671875" style="5"/>
    <col min="3" max="3" width="28.5546875" style="5" customWidth="1"/>
    <col min="4" max="5" width="15.77734375" style="5" customWidth="1"/>
    <col min="6" max="6" width="15.6640625" style="5" customWidth="1"/>
    <col min="7" max="7" width="15.44140625" style="5" customWidth="1"/>
    <col min="8" max="9" width="16" style="5" customWidth="1"/>
    <col min="10" max="16384" width="8.88671875" style="5"/>
  </cols>
  <sheetData>
    <row r="1" spans="1:9" x14ac:dyDescent="0.3">
      <c r="A1" s="109"/>
      <c r="B1" s="109"/>
      <c r="C1" s="109"/>
      <c r="D1" s="109"/>
      <c r="E1" s="109"/>
      <c r="F1" s="109"/>
      <c r="G1" s="109"/>
      <c r="H1" s="109"/>
      <c r="I1" s="109"/>
    </row>
    <row r="2" spans="1:9" ht="13.8" thickBot="1" x14ac:dyDescent="0.35">
      <c r="A2" s="109"/>
      <c r="B2" s="109"/>
      <c r="C2" s="109"/>
      <c r="D2" s="109"/>
      <c r="E2" s="109"/>
      <c r="F2" s="109"/>
      <c r="G2" s="109"/>
      <c r="H2" s="109"/>
      <c r="I2" s="109"/>
    </row>
    <row r="3" spans="1:9" ht="13.8" thickBot="1" x14ac:dyDescent="0.35">
      <c r="A3" s="109"/>
      <c r="B3" s="109"/>
      <c r="C3" s="50" t="s">
        <v>53</v>
      </c>
      <c r="D3" s="50" t="s">
        <v>54</v>
      </c>
      <c r="E3" s="51">
        <v>45292</v>
      </c>
      <c r="F3" s="50" t="s">
        <v>55</v>
      </c>
      <c r="G3" s="51">
        <v>45294</v>
      </c>
    </row>
    <row r="4" spans="1:9" x14ac:dyDescent="0.3">
      <c r="A4" s="109"/>
      <c r="B4" s="109"/>
    </row>
    <row r="5" spans="1:9" x14ac:dyDescent="0.3">
      <c r="A5" s="109"/>
      <c r="B5" s="109"/>
      <c r="C5" s="52" t="s">
        <v>5</v>
      </c>
      <c r="D5" s="53" t="s">
        <v>45</v>
      </c>
      <c r="E5" s="53" t="s">
        <v>46</v>
      </c>
      <c r="F5" s="53" t="s">
        <v>47</v>
      </c>
      <c r="G5" s="53" t="s">
        <v>48</v>
      </c>
      <c r="H5" s="53" t="s">
        <v>49</v>
      </c>
      <c r="I5" s="54" t="s">
        <v>50</v>
      </c>
    </row>
    <row r="6" spans="1:9" x14ac:dyDescent="0.3">
      <c r="A6" s="109"/>
      <c r="B6" s="109"/>
      <c r="C6" s="17" t="str">
        <f>IF(ГСМ!C4="","",ГСМ!C4)</f>
        <v>Бензин АИ-76-К3, л</v>
      </c>
      <c r="D6" s="28">
        <f>IF(Оборотка[ГСМ]="","",SUMIFS(Приход[Кол-во],Приход[ГСМ],Оборотка[[#This Row],[ГСМ]],Приход[С],"&lt;=0",Приход[По],"&gt;=0"))</f>
        <v>0</v>
      </c>
      <c r="E6" s="28">
        <f>IF(Оборотка[ГСМ]="","",SUMIFS(Приход[Сумма],Приход[ГСМ],Оборотка[[#This Row],[ГСМ]],Приход[С],"&lt;=0",Приход[По],"&gt;=0"))</f>
        <v>0</v>
      </c>
      <c r="F6" s="28">
        <f>IF(Оборотка[ГСМ]="","",SUMIFS(Расход[Кол-во],Расход[ГСМ],Оборотка[[#This Row],[ГСМ]],Расход[С],"&lt;=0",Расход[По],"&gt;=0"))</f>
        <v>160</v>
      </c>
      <c r="G6" s="28">
        <f>IF(Оборотка[ГСМ]="","",SUMIFS(Расход[Сумма],Расход[ГСМ],Оборотка[[#This Row],[ГСМ]],Расход[С],"&lt;=0",Расход[По],"&gt;=0"))</f>
        <v>9100</v>
      </c>
      <c r="H6" s="28">
        <f>IF(Оборотка[[#This Row],[ГСМ]]="","",Оборотка[[#This Row],[Кол-во приход]]-Оборотка[[#This Row],[Кол-во расход]])</f>
        <v>-160</v>
      </c>
      <c r="I6" s="28">
        <f>IF(Оборотка[[#This Row],[ГСМ]]="","",Оборотка[[#This Row],[Сумма приход]]-Оборотка[[#This Row],[Сумма расход]])</f>
        <v>-9100</v>
      </c>
    </row>
    <row r="7" spans="1:9" x14ac:dyDescent="0.3">
      <c r="A7" s="109"/>
      <c r="B7" s="109"/>
      <c r="C7" s="17" t="str">
        <f>IF(ГСМ!C5="","",ГСМ!C5)</f>
        <v>Бензин АИ-92-К5, л</v>
      </c>
      <c r="D7" s="28">
        <f>IF(Оборотка[ГСМ]="","",SUMIFS(Приход[Кол-во],Приход[ГСМ],Оборотка[[#This Row],[ГСМ]],Приход[С],"&lt;=0",Приход[По],"&gt;=0"))</f>
        <v>10000</v>
      </c>
      <c r="E7" s="28">
        <f>IF(Оборотка[ГСМ]="","",SUMIFS(Приход[Сумма],Приход[ГСМ],Оборотка[[#This Row],[ГСМ]],Приход[С],"&lt;=0",Приход[По],"&gt;=0"))</f>
        <v>500000</v>
      </c>
      <c r="F7" s="28">
        <f>IF(Оборотка[ГСМ]="","",SUMIFS(Расход[Кол-во],Расход[ГСМ],Оборотка[[#This Row],[ГСМ]],Расход[С],"&lt;=0",Расход[По],"&gt;=0"))</f>
        <v>0</v>
      </c>
      <c r="G7" s="28">
        <f>IF(Оборотка[ГСМ]="","",SUMIFS(Расход[Сумма],Расход[ГСМ],Оборотка[[#This Row],[ГСМ]],Расход[С],"&lt;=0",Расход[По],"&gt;=0"))</f>
        <v>0</v>
      </c>
      <c r="H7" s="28">
        <f>IF(Оборотка[[#This Row],[ГСМ]]="","",Оборотка[[#This Row],[Кол-во приход]]-Оборотка[[#This Row],[Кол-во расход]])</f>
        <v>10000</v>
      </c>
      <c r="I7" s="28">
        <f>IF(Оборотка[[#This Row],[ГСМ]]="","",Оборотка[[#This Row],[Сумма приход]]-Оборотка[[#This Row],[Сумма расход]])</f>
        <v>500000</v>
      </c>
    </row>
    <row r="8" spans="1:9" x14ac:dyDescent="0.3">
      <c r="A8" s="109"/>
      <c r="B8" s="109"/>
      <c r="C8" s="17" t="str">
        <f>IF(ГСМ!C6="","",ГСМ!C6)</f>
        <v>Бензин АИ-95-К5, л</v>
      </c>
      <c r="D8" s="28">
        <f>IF(Оборотка[ГСМ]="","",SUMIFS(Приход[Кол-во],Приход[ГСМ],Оборотка[[#This Row],[ГСМ]],Приход[С],"&lt;=0",Приход[По],"&gt;=0"))</f>
        <v>0</v>
      </c>
      <c r="E8" s="28">
        <f>IF(Оборотка[ГСМ]="","",SUMIFS(Приход[Сумма],Приход[ГСМ],Оборотка[[#This Row],[ГСМ]],Приход[С],"&lt;=0",Приход[По],"&gt;=0"))</f>
        <v>0</v>
      </c>
      <c r="F8" s="28">
        <f>IF(Оборотка[ГСМ]="","",SUMIFS(Расход[Кол-во],Расход[ГСМ],Оборотка[[#This Row],[ГСМ]],Расход[С],"&lt;=0",Расход[По],"&gt;=0"))</f>
        <v>0</v>
      </c>
      <c r="G8" s="28">
        <f>IF(Оборотка[ГСМ]="","",SUMIFS(Расход[Сумма],Расход[ГСМ],Оборотка[[#This Row],[ГСМ]],Расход[С],"&lt;=0",Расход[По],"&gt;=0"))</f>
        <v>0</v>
      </c>
      <c r="H8" s="28">
        <f>IF(Оборотка[[#This Row],[ГСМ]]="","",Оборотка[[#This Row],[Кол-во приход]]-Оборотка[[#This Row],[Кол-во расход]])</f>
        <v>0</v>
      </c>
      <c r="I8" s="28">
        <f>IF(Оборотка[[#This Row],[ГСМ]]="","",Оборотка[[#This Row],[Сумма приход]]-Оборотка[[#This Row],[Сумма расход]])</f>
        <v>0</v>
      </c>
    </row>
    <row r="9" spans="1:9" x14ac:dyDescent="0.3">
      <c r="A9" s="109"/>
      <c r="B9" s="109"/>
      <c r="C9" s="17" t="str">
        <f>IF(ГСМ!C7="","",ГСМ!C7)</f>
        <v>Дизельное топливо ДТ-А-К5, л</v>
      </c>
      <c r="D9" s="28">
        <f>IF(Оборотка[ГСМ]="","",SUMIFS(Приход[Кол-во],Приход[ГСМ],Оборотка[[#This Row],[ГСМ]],Приход[С],"&lt;=0",Приход[По],"&gt;=0"))</f>
        <v>0</v>
      </c>
      <c r="E9" s="28">
        <f>IF(Оборотка[ГСМ]="","",SUMIFS(Приход[Сумма],Приход[ГСМ],Оборотка[[#This Row],[ГСМ]],Приход[С],"&lt;=0",Приход[По],"&gt;=0"))</f>
        <v>0</v>
      </c>
      <c r="F9" s="28">
        <f>IF(Оборотка[ГСМ]="","",SUMIFS(Расход[Кол-во],Расход[ГСМ],Оборотка[[#This Row],[ГСМ]],Расход[С],"&lt;=0",Расход[По],"&gt;=0"))</f>
        <v>0</v>
      </c>
      <c r="G9" s="28">
        <f>IF(Оборотка[ГСМ]="","",SUMIFS(Расход[Сумма],Расход[ГСМ],Оборотка[[#This Row],[ГСМ]],Расход[С],"&lt;=0",Расход[По],"&gt;=0"))</f>
        <v>0</v>
      </c>
      <c r="H9" s="28">
        <f>IF(Оборотка[[#This Row],[ГСМ]]="","",Оборотка[[#This Row],[Кол-во приход]]-Оборотка[[#This Row],[Кол-во расход]])</f>
        <v>0</v>
      </c>
      <c r="I9" s="28">
        <f>IF(Оборотка[[#This Row],[ГСМ]]="","",Оборотка[[#This Row],[Сумма приход]]-Оборотка[[#This Row],[Сумма расход]])</f>
        <v>0</v>
      </c>
    </row>
    <row r="10" spans="1:9" x14ac:dyDescent="0.3">
      <c r="A10" s="109"/>
      <c r="B10" s="109"/>
      <c r="C10" s="17" t="str">
        <f>IF(ГСМ!C8="","",ГСМ!C8)</f>
        <v>Дизельное топливо ДТ-Е-К5, л</v>
      </c>
      <c r="D10" s="28">
        <f>IF(Оборотка[ГСМ]="","",SUMIFS(Приход[Кол-во],Приход[ГСМ],Оборотка[[#This Row],[ГСМ]],Приход[С],"&lt;=0",Приход[По],"&gt;=0"))</f>
        <v>0</v>
      </c>
      <c r="E10" s="28">
        <f>IF(Оборотка[ГСМ]="","",SUMIFS(Приход[Сумма],Приход[ГСМ],Оборотка[[#This Row],[ГСМ]],Приход[С],"&lt;=0",Приход[По],"&gt;=0"))</f>
        <v>0</v>
      </c>
      <c r="F10" s="28">
        <f>IF(Оборотка[ГСМ]="","",SUMIFS(Расход[Кол-во],Расход[ГСМ],Оборотка[[#This Row],[ГСМ]],Расход[С],"&lt;=0",Расход[По],"&gt;=0"))</f>
        <v>0</v>
      </c>
      <c r="G10" s="28">
        <f>IF(Оборотка[ГСМ]="","",SUMIFS(Расход[Сумма],Расход[ГСМ],Оборотка[[#This Row],[ГСМ]],Расход[С],"&lt;=0",Расход[По],"&gt;=0"))</f>
        <v>0</v>
      </c>
      <c r="H10" s="28">
        <f>IF(Оборотка[[#This Row],[ГСМ]]="","",Оборотка[[#This Row],[Кол-во приход]]-Оборотка[[#This Row],[Кол-во расход]])</f>
        <v>0</v>
      </c>
      <c r="I10" s="28">
        <f>IF(Оборотка[[#This Row],[ГСМ]]="","",Оборотка[[#This Row],[Сумма приход]]-Оборотка[[#This Row],[Сумма расход]])</f>
        <v>0</v>
      </c>
    </row>
    <row r="11" spans="1:9" x14ac:dyDescent="0.3">
      <c r="A11" s="109"/>
      <c r="B11" s="109"/>
      <c r="C11" s="17" t="str">
        <f>IF(ГСМ!C9="","",ГСМ!C9)</f>
        <v>Дизельное топливо ДТ-З-К5, л</v>
      </c>
      <c r="D11" s="28">
        <f>IF(Оборотка[ГСМ]="","",SUMIFS(Приход[Кол-во],Приход[ГСМ],Оборотка[[#This Row],[ГСМ]],Приход[С],"&lt;=0",Приход[По],"&gt;=0"))</f>
        <v>0</v>
      </c>
      <c r="E11" s="28">
        <f>IF(Оборотка[ГСМ]="","",SUMIFS(Приход[Сумма],Приход[ГСМ],Оборотка[[#This Row],[ГСМ]],Приход[С],"&lt;=0",Приход[По],"&gt;=0"))</f>
        <v>0</v>
      </c>
      <c r="F11" s="28">
        <f>IF(Оборотка[ГСМ]="","",SUMIFS(Расход[Кол-во],Расход[ГСМ],Оборотка[[#This Row],[ГСМ]],Расход[С],"&lt;=0",Расход[По],"&gt;=0"))</f>
        <v>0</v>
      </c>
      <c r="G11" s="28">
        <f>IF(Оборотка[ГСМ]="","",SUMIFS(Расход[Сумма],Расход[ГСМ],Оборотка[[#This Row],[ГСМ]],Расход[С],"&lt;=0",Расход[По],"&gt;=0"))</f>
        <v>0</v>
      </c>
      <c r="H11" s="28">
        <f>IF(Оборотка[[#This Row],[ГСМ]]="","",Оборотка[[#This Row],[Кол-во приход]]-Оборотка[[#This Row],[Кол-во расход]])</f>
        <v>0</v>
      </c>
      <c r="I11" s="28">
        <f>IF(Оборотка[[#This Row],[ГСМ]]="","",Оборотка[[#This Row],[Сумма приход]]-Оборотка[[#This Row],[Сумма расход]])</f>
        <v>0</v>
      </c>
    </row>
    <row r="12" spans="1:9" x14ac:dyDescent="0.3">
      <c r="A12" s="109"/>
      <c r="B12" s="109"/>
      <c r="C12" s="17" t="str">
        <f>IF(ГСМ!C10="","",ГСМ!C10)</f>
        <v>Дизельное топливо ДТ-Л-К5, л</v>
      </c>
      <c r="D12" s="28">
        <f>IF(Оборотка[ГСМ]="","",SUMIFS(Приход[Кол-во],Приход[ГСМ],Оборотка[[#This Row],[ГСМ]],Приход[С],"&lt;=0",Приход[По],"&gt;=0"))</f>
        <v>0</v>
      </c>
      <c r="E12" s="28">
        <f>IF(Оборотка[ГСМ]="","",SUMIFS(Приход[Сумма],Приход[ГСМ],Оборотка[[#This Row],[ГСМ]],Приход[С],"&lt;=0",Приход[По],"&gt;=0"))</f>
        <v>0</v>
      </c>
      <c r="F12" s="28">
        <f>IF(Оборотка[ГСМ]="","",SUMIFS(Расход[Кол-во],Расход[ГСМ],Оборотка[[#This Row],[ГСМ]],Расход[С],"&lt;=0",Расход[По],"&gt;=0"))</f>
        <v>0</v>
      </c>
      <c r="G12" s="28">
        <f>IF(Оборотка[ГСМ]="","",SUMIFS(Расход[Сумма],Расход[ГСМ],Оборотка[[#This Row],[ГСМ]],Расход[С],"&lt;=0",Расход[По],"&gt;=0"))</f>
        <v>0</v>
      </c>
      <c r="H12" s="28">
        <f>IF(Оборотка[[#This Row],[ГСМ]]="","",Оборотка[[#This Row],[Кол-во приход]]-Оборотка[[#This Row],[Кол-во расход]])</f>
        <v>0</v>
      </c>
      <c r="I12" s="28">
        <f>IF(Оборотка[[#This Row],[ГСМ]]="","",Оборотка[[#This Row],[Сумма приход]]-Оборотка[[#This Row],[Сумма расход]])</f>
        <v>0</v>
      </c>
    </row>
    <row r="13" spans="1:9" ht="26.4" x14ac:dyDescent="0.3">
      <c r="A13" s="109"/>
      <c r="B13" s="109"/>
      <c r="C13" s="17" t="str">
        <f>IF(ГСМ!C11="","",ГСМ!C11)</f>
        <v>Масло моторное TEBOIL Super HPD 5W-40, канистра 1л, л</v>
      </c>
      <c r="D13" s="28">
        <f>IF(Оборотка[ГСМ]="","",SUMIFS(Приход[Кол-во],Приход[ГСМ],Оборотка[[#This Row],[ГСМ]],Приход[С],"&lt;=0",Приход[По],"&gt;=0"))</f>
        <v>2600</v>
      </c>
      <c r="E13" s="28">
        <f>IF(Оборотка[ГСМ]="","",SUMIFS(Приход[Сумма],Приход[ГСМ],Оборотка[[#This Row],[ГСМ]],Приход[С],"&lt;=0",Приход[По],"&gt;=0"))</f>
        <v>257500</v>
      </c>
      <c r="F13" s="28">
        <f>IF(Оборотка[ГСМ]="","",SUMIFS(Расход[Кол-во],Расход[ГСМ],Оборотка[[#This Row],[ГСМ]],Расход[С],"&lt;=0",Расход[По],"&gt;=0"))</f>
        <v>0</v>
      </c>
      <c r="G13" s="28">
        <f>IF(Оборотка[ГСМ]="","",SUMIFS(Расход[Сумма],Расход[ГСМ],Оборотка[[#This Row],[ГСМ]],Расход[С],"&lt;=0",Расход[По],"&gt;=0"))</f>
        <v>0</v>
      </c>
      <c r="H13" s="28">
        <f>IF(Оборотка[[#This Row],[ГСМ]]="","",Оборотка[[#This Row],[Кол-во приход]]-Оборотка[[#This Row],[Кол-во расход]])</f>
        <v>2600</v>
      </c>
      <c r="I13" s="28">
        <f>IF(Оборотка[[#This Row],[ГСМ]]="","",Оборотка[[#This Row],[Сумма приход]]-Оборотка[[#This Row],[Сумма расход]])</f>
        <v>257500</v>
      </c>
    </row>
    <row r="14" spans="1:9" ht="26.4" x14ac:dyDescent="0.3">
      <c r="A14" s="109"/>
      <c r="B14" s="109"/>
      <c r="C14" s="17" t="str">
        <f>IF(ГСМ!C12="","",ГСМ!C12)</f>
        <v>Масло моторное TEBOIL Super HPD 5W-40, канистра 4л, л</v>
      </c>
      <c r="D14" s="28">
        <f>IF(Оборотка[ГСМ]="","",SUMIFS(Приход[Кол-во],Приход[ГСМ],Оборотка[[#This Row],[ГСМ]],Приход[С],"&lt;=0",Приход[По],"&gt;=0"))</f>
        <v>0</v>
      </c>
      <c r="E14" s="28">
        <f>IF(Оборотка[ГСМ]="","",SUMIFS(Приход[Сумма],Приход[ГСМ],Оборотка[[#This Row],[ГСМ]],Приход[С],"&lt;=0",Приход[По],"&gt;=0"))</f>
        <v>0</v>
      </c>
      <c r="F14" s="28">
        <f>IF(Оборотка[ГСМ]="","",SUMIFS(Расход[Кол-во],Расход[ГСМ],Оборотка[[#This Row],[ГСМ]],Расход[С],"&lt;=0",Расход[По],"&gt;=0"))</f>
        <v>0</v>
      </c>
      <c r="G14" s="28">
        <f>IF(Оборотка[ГСМ]="","",SUMIFS(Расход[Сумма],Расход[ГСМ],Оборотка[[#This Row],[ГСМ]],Расход[С],"&lt;=0",Расход[По],"&gt;=0"))</f>
        <v>0</v>
      </c>
      <c r="H14" s="28">
        <f>IF(Оборотка[[#This Row],[ГСМ]]="","",Оборотка[[#This Row],[Кол-во приход]]-Оборотка[[#This Row],[Кол-во расход]])</f>
        <v>0</v>
      </c>
      <c r="I14" s="28">
        <f>IF(Оборотка[[#This Row],[ГСМ]]="","",Оборотка[[#This Row],[Сумма приход]]-Оборотка[[#This Row],[Сумма расход]])</f>
        <v>0</v>
      </c>
    </row>
    <row r="15" spans="1:9" x14ac:dyDescent="0.3">
      <c r="A15" s="109"/>
      <c r="B15" s="109"/>
      <c r="C15" s="17" t="str">
        <f>IF(ГСМ!C13="","",ГСМ!C13)</f>
        <v>Смазка ссс, мл</v>
      </c>
      <c r="D15" s="28">
        <f>IF(Оборотка[ГСМ]="","",SUMIFS(Приход[Кол-во],Приход[ГСМ],Оборотка[[#This Row],[ГСМ]],Приход[С],"&lt;=0",Приход[По],"&gt;=0"))</f>
        <v>0</v>
      </c>
      <c r="E15" s="28">
        <f>IF(Оборотка[ГСМ]="","",SUMIFS(Приход[Сумма],Приход[ГСМ],Оборотка[[#This Row],[ГСМ]],Приход[С],"&lt;=0",Приход[По],"&gt;=0"))</f>
        <v>0</v>
      </c>
      <c r="F15" s="28">
        <f>IF(Оборотка[ГСМ]="","",SUMIFS(Расход[Кол-во],Расход[ГСМ],Оборотка[[#This Row],[ГСМ]],Расход[С],"&lt;=0",Расход[По],"&gt;=0"))</f>
        <v>0</v>
      </c>
      <c r="G15" s="28">
        <f>IF(Оборотка[ГСМ]="","",SUMIFS(Расход[Сумма],Расход[ГСМ],Оборотка[[#This Row],[ГСМ]],Расход[С],"&lt;=0",Расход[По],"&gt;=0"))</f>
        <v>0</v>
      </c>
      <c r="H15" s="28">
        <f>IF(Оборотка[[#This Row],[ГСМ]]="","",Оборотка[[#This Row],[Кол-во приход]]-Оборотка[[#This Row],[Кол-во расход]])</f>
        <v>0</v>
      </c>
      <c r="I15" s="28">
        <f>IF(Оборотка[[#This Row],[ГСМ]]="","",Оборотка[[#This Row],[Сумма приход]]-Оборотка[[#This Row],[Сумма расход]])</f>
        <v>0</v>
      </c>
    </row>
    <row r="16" spans="1:9" x14ac:dyDescent="0.3">
      <c r="A16" s="109"/>
      <c r="B16" s="109"/>
      <c r="C16" s="17" t="str">
        <f>IF(ГСМ!C14="","",ГСМ!C14)</f>
        <v/>
      </c>
      <c r="D16" s="28" t="str">
        <f>IF(Оборотка[ГСМ]="","",SUMIFS(Приход[Кол-во],Приход[ГСМ],Оборотка[[#This Row],[ГСМ]],Приход[С],"&lt;=0",Приход[По],"&gt;=0"))</f>
        <v/>
      </c>
      <c r="E16" s="28" t="str">
        <f>IF(Оборотка[ГСМ]="","",SUMIFS(Приход[Сумма],Приход[ГСМ],Оборотка[[#This Row],[ГСМ]],Приход[С],"&lt;=0",Приход[По],"&gt;=0"))</f>
        <v/>
      </c>
      <c r="F16" s="28" t="str">
        <f>IF(Оборотка[ГСМ]="","",SUMIFS(Расход[Кол-во],Расход[ГСМ],Оборотка[[#This Row],[ГСМ]],Расход[С],"&lt;=0",Расход[По],"&gt;=0"))</f>
        <v/>
      </c>
      <c r="G16" s="28" t="str">
        <f>IF(Оборотка[ГСМ]="","",SUMIFS(Расход[Сумма],Расход[ГСМ],Оборотка[[#This Row],[ГСМ]],Расход[С],"&lt;=0",Расход[По],"&gt;=0"))</f>
        <v/>
      </c>
      <c r="H16" s="28" t="str">
        <f>IF(Оборотка[[#This Row],[ГСМ]]="","",Оборотка[[#This Row],[Кол-во приход]]-Оборотка[[#This Row],[Кол-во расход]])</f>
        <v/>
      </c>
      <c r="I16" s="28" t="str">
        <f>IF(Оборотка[[#This Row],[ГСМ]]="","",Оборотка[[#This Row],[Сумма приход]]-Оборотка[[#This Row],[Сумма расход]])</f>
        <v/>
      </c>
    </row>
    <row r="17" spans="1:9" x14ac:dyDescent="0.3">
      <c r="A17" s="109"/>
      <c r="B17" s="109"/>
      <c r="C17" s="17" t="str">
        <f>IF(ГСМ!C15="","",ГСМ!C15)</f>
        <v/>
      </c>
      <c r="D17" s="28" t="str">
        <f>IF(Оборотка[ГСМ]="","",SUMIFS(Приход[Кол-во],Приход[ГСМ],Оборотка[[#This Row],[ГСМ]],Приход[С],"&lt;=0",Приход[По],"&gt;=0"))</f>
        <v/>
      </c>
      <c r="E17" s="28" t="str">
        <f>IF(Оборотка[ГСМ]="","",SUMIFS(Приход[Сумма],Приход[ГСМ],Оборотка[[#This Row],[ГСМ]],Приход[С],"&lt;=0",Приход[По],"&gt;=0"))</f>
        <v/>
      </c>
      <c r="F17" s="28" t="str">
        <f>IF(Оборотка[ГСМ]="","",SUMIFS(Расход[Кол-во],Расход[ГСМ],Оборотка[[#This Row],[ГСМ]],Расход[С],"&lt;=0",Расход[По],"&gt;=0"))</f>
        <v/>
      </c>
      <c r="G17" s="28" t="str">
        <f>IF(Оборотка[ГСМ]="","",SUMIFS(Расход[Сумма],Расход[ГСМ],Оборотка[[#This Row],[ГСМ]],Расход[С],"&lt;=0",Расход[По],"&gt;=0"))</f>
        <v/>
      </c>
      <c r="H17" s="28" t="str">
        <f>IF(Оборотка[[#This Row],[ГСМ]]="","",Оборотка[[#This Row],[Кол-во приход]]-Оборотка[[#This Row],[Кол-во расход]])</f>
        <v/>
      </c>
      <c r="I17" s="28" t="str">
        <f>IF(Оборотка[[#This Row],[ГСМ]]="","",Оборотка[[#This Row],[Сумма приход]]-Оборотка[[#This Row],[Сумма расход]])</f>
        <v/>
      </c>
    </row>
    <row r="18" spans="1:9" x14ac:dyDescent="0.3">
      <c r="A18" s="109"/>
      <c r="B18" s="109"/>
      <c r="C18" s="17" t="str">
        <f>IF(ГСМ!C16="","",ГСМ!C16)</f>
        <v/>
      </c>
      <c r="D18" s="28" t="str">
        <f>IF(Оборотка[ГСМ]="","",SUMIFS(Приход[Кол-во],Приход[ГСМ],Оборотка[[#This Row],[ГСМ]],Приход[С],"&lt;=0",Приход[По],"&gt;=0"))</f>
        <v/>
      </c>
      <c r="E18" s="28" t="str">
        <f>IF(Оборотка[ГСМ]="","",SUMIFS(Приход[Сумма],Приход[ГСМ],Оборотка[[#This Row],[ГСМ]],Приход[С],"&lt;=0",Приход[По],"&gt;=0"))</f>
        <v/>
      </c>
      <c r="F18" s="28" t="str">
        <f>IF(Оборотка[ГСМ]="","",SUMIFS(Расход[Кол-во],Расход[ГСМ],Оборотка[[#This Row],[ГСМ]],Расход[С],"&lt;=0",Расход[По],"&gt;=0"))</f>
        <v/>
      </c>
      <c r="G18" s="28" t="str">
        <f>IF(Оборотка[ГСМ]="","",SUMIFS(Расход[Сумма],Расход[ГСМ],Оборотка[[#This Row],[ГСМ]],Расход[С],"&lt;=0",Расход[По],"&gt;=0"))</f>
        <v/>
      </c>
      <c r="H18" s="28" t="str">
        <f>IF(Оборотка[[#This Row],[ГСМ]]="","",Оборотка[[#This Row],[Кол-во приход]]-Оборотка[[#This Row],[Кол-во расход]])</f>
        <v/>
      </c>
      <c r="I18" s="28" t="str">
        <f>IF(Оборотка[[#This Row],[ГСМ]]="","",Оборотка[[#This Row],[Сумма приход]]-Оборотка[[#This Row],[Сумма расход]])</f>
        <v/>
      </c>
    </row>
    <row r="19" spans="1:9" x14ac:dyDescent="0.3">
      <c r="A19" s="109"/>
      <c r="B19" s="109"/>
      <c r="C19" s="13" t="s">
        <v>14</v>
      </c>
      <c r="D19" s="28">
        <f>SUBTOTAL(109,Оборотка[Кол-во приход])</f>
        <v>12600</v>
      </c>
      <c r="E19" s="29">
        <f>SUBTOTAL(109,Оборотка[Сумма приход])</f>
        <v>757500</v>
      </c>
      <c r="F19" s="28">
        <f>SUBTOTAL(109,Оборотка[Кол-во расход])</f>
        <v>160</v>
      </c>
      <c r="G19" s="29">
        <f>SUBTOTAL(109,Оборотка[Сумма расход])</f>
        <v>9100</v>
      </c>
      <c r="H19" s="28">
        <f>SUBTOTAL(109,Оборотка[Кол-во остаток])</f>
        <v>12440</v>
      </c>
      <c r="I19" s="29">
        <f>SUBTOTAL(103,Оборотка[Сумма остаток])</f>
        <v>13</v>
      </c>
    </row>
    <row r="20" spans="1:9" x14ac:dyDescent="0.3">
      <c r="A20" s="109"/>
      <c r="B20" s="109"/>
    </row>
    <row r="21" spans="1:9" x14ac:dyDescent="0.3">
      <c r="A21" s="109"/>
      <c r="B21" s="109"/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showRowColHeaders="0" workbookViewId="0">
      <pane ySplit="3" topLeftCell="A4" activePane="bottomLeft" state="frozen"/>
      <selection pane="bottomLeft" activeCell="C6" sqref="C6"/>
    </sheetView>
  </sheetViews>
  <sheetFormatPr defaultRowHeight="14.4" x14ac:dyDescent="0.3"/>
  <cols>
    <col min="1" max="1" width="8.88671875" style="5"/>
    <col min="3" max="3" width="14.88671875" style="5" customWidth="1"/>
    <col min="4" max="4" width="13" style="5" customWidth="1"/>
    <col min="5" max="5" width="20.77734375" style="5" customWidth="1"/>
    <col min="6" max="6" width="16.21875" style="5" customWidth="1"/>
    <col min="7" max="7" width="18.109375" style="5" customWidth="1"/>
    <col min="8" max="8" width="22.6640625" style="5" customWidth="1"/>
    <col min="9" max="9" width="19.6640625" style="5" customWidth="1"/>
    <col min="10" max="16384" width="8.88671875" style="5"/>
  </cols>
  <sheetData>
    <row r="1" spans="1:9" x14ac:dyDescent="0.3">
      <c r="A1" s="109"/>
      <c r="B1" s="110"/>
      <c r="C1" s="109"/>
      <c r="D1" s="109"/>
      <c r="E1" s="109"/>
      <c r="F1" s="109"/>
      <c r="G1" s="109"/>
      <c r="H1" s="109"/>
      <c r="I1" s="109"/>
    </row>
    <row r="2" spans="1:9" x14ac:dyDescent="0.3">
      <c r="A2" s="109"/>
      <c r="B2" s="110"/>
      <c r="C2" s="109"/>
      <c r="D2" s="109"/>
      <c r="E2" s="109"/>
      <c r="F2" s="109"/>
      <c r="G2" s="109"/>
      <c r="H2" s="109"/>
      <c r="I2" s="109"/>
    </row>
    <row r="3" spans="1:9" s="57" customFormat="1" x14ac:dyDescent="0.3">
      <c r="A3" s="111"/>
      <c r="B3" s="110"/>
      <c r="C3" s="1" t="s">
        <v>4</v>
      </c>
      <c r="D3" s="2" t="s">
        <v>8</v>
      </c>
      <c r="E3" s="2" t="s">
        <v>5</v>
      </c>
      <c r="F3" s="2" t="s">
        <v>69</v>
      </c>
      <c r="G3" s="2" t="s">
        <v>70</v>
      </c>
      <c r="H3" s="2" t="s">
        <v>74</v>
      </c>
      <c r="I3" s="26" t="s">
        <v>0</v>
      </c>
    </row>
    <row r="4" spans="1:9" x14ac:dyDescent="0.3">
      <c r="A4" s="109"/>
      <c r="B4" s="110"/>
      <c r="C4" s="42" t="s">
        <v>62</v>
      </c>
      <c r="D4" s="43">
        <v>45293</v>
      </c>
      <c r="E4" s="58" t="s">
        <v>56</v>
      </c>
      <c r="F4" s="7" t="s">
        <v>71</v>
      </c>
      <c r="G4" s="7" t="s">
        <v>72</v>
      </c>
      <c r="H4" s="58" t="s">
        <v>43</v>
      </c>
      <c r="I4" s="60" t="str">
        <f>IF(Ведомость_реестр[[#This Row],[Ответственный]]="","",LOOKUP(Ведомость_реестр[[#This Row],[Ответственный]],Сотрудники[],Сотрудники[Табельный номер]))</f>
        <v>3212</v>
      </c>
    </row>
    <row r="5" spans="1:9" x14ac:dyDescent="0.3">
      <c r="A5" s="109"/>
      <c r="B5" s="110"/>
      <c r="C5" s="42" t="s">
        <v>112</v>
      </c>
      <c r="D5" s="43">
        <v>45294</v>
      </c>
      <c r="E5" s="58" t="s">
        <v>113</v>
      </c>
      <c r="F5" s="7" t="s">
        <v>71</v>
      </c>
      <c r="G5" s="7" t="s">
        <v>114</v>
      </c>
      <c r="H5" s="58" t="s">
        <v>43</v>
      </c>
      <c r="I5" s="60" t="str">
        <f>IF(Ведомость_реестр[[#This Row],[Ответственный]]="","",LOOKUP(Ведомость_реестр[[#This Row],[Ответственный]],Сотрудники[],Сотрудники[Табельный номер]))</f>
        <v>3212</v>
      </c>
    </row>
    <row r="6" spans="1:9" x14ac:dyDescent="0.3">
      <c r="A6" s="109"/>
      <c r="B6" s="110"/>
      <c r="C6" s="42"/>
      <c r="D6" s="43"/>
      <c r="E6" s="58"/>
      <c r="F6" s="7"/>
      <c r="G6" s="7"/>
      <c r="H6" s="58"/>
      <c r="I6" s="60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7" spans="1:9" x14ac:dyDescent="0.3">
      <c r="A7" s="109"/>
      <c r="B7" s="110"/>
      <c r="C7" s="45"/>
      <c r="D7" s="46"/>
      <c r="E7" s="58"/>
      <c r="F7" s="11"/>
      <c r="G7" s="11"/>
      <c r="H7" s="59"/>
      <c r="I7" s="60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8" spans="1:9" x14ac:dyDescent="0.3">
      <c r="A8" s="109"/>
      <c r="B8" s="110"/>
      <c r="C8" s="42"/>
      <c r="D8" s="43"/>
      <c r="E8" s="58"/>
      <c r="F8" s="7"/>
      <c r="G8" s="7"/>
      <c r="H8" s="58"/>
      <c r="I8" s="104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9" spans="1:9" x14ac:dyDescent="0.3">
      <c r="A9" s="109"/>
      <c r="B9" s="110"/>
      <c r="C9" s="42"/>
      <c r="D9" s="43"/>
      <c r="E9" s="58"/>
      <c r="F9" s="7"/>
      <c r="G9" s="7"/>
      <c r="H9" s="58"/>
      <c r="I9" s="104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10" spans="1:9" x14ac:dyDescent="0.3">
      <c r="A10" s="109"/>
      <c r="B10" s="110"/>
      <c r="C10" s="42"/>
      <c r="D10" s="43"/>
      <c r="E10" s="58"/>
      <c r="F10" s="7"/>
      <c r="G10" s="7"/>
      <c r="H10" s="58"/>
      <c r="I10" s="104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11" spans="1:9" x14ac:dyDescent="0.3">
      <c r="A11" s="109"/>
      <c r="B11" s="110"/>
      <c r="C11" s="42"/>
      <c r="D11" s="43"/>
      <c r="E11" s="58"/>
      <c r="F11" s="7"/>
      <c r="G11" s="7"/>
      <c r="H11" s="58"/>
      <c r="I11" s="104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12" spans="1:9" x14ac:dyDescent="0.3">
      <c r="A12" s="109"/>
      <c r="B12" s="110"/>
      <c r="C12" s="42"/>
      <c r="D12" s="43"/>
      <c r="E12" s="58"/>
      <c r="F12" s="7"/>
      <c r="G12" s="7"/>
      <c r="H12" s="58"/>
      <c r="I12" s="104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13" spans="1:9" x14ac:dyDescent="0.3">
      <c r="A13" s="109"/>
      <c r="B13" s="110"/>
      <c r="C13" s="42"/>
      <c r="D13" s="43"/>
      <c r="E13" s="58"/>
      <c r="F13" s="7"/>
      <c r="G13" s="7"/>
      <c r="H13" s="58"/>
      <c r="I13" s="104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14" spans="1:9" x14ac:dyDescent="0.3">
      <c r="A14" s="109"/>
      <c r="B14" s="110"/>
      <c r="C14" s="42"/>
      <c r="D14" s="43"/>
      <c r="E14" s="58"/>
      <c r="F14" s="7"/>
      <c r="G14" s="7"/>
      <c r="H14" s="58"/>
      <c r="I14" s="104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15" spans="1:9" x14ac:dyDescent="0.3">
      <c r="A15" s="109"/>
      <c r="B15" s="110"/>
      <c r="C15" s="42"/>
      <c r="D15" s="43"/>
      <c r="E15" s="58"/>
      <c r="F15" s="7"/>
      <c r="G15" s="7"/>
      <c r="H15" s="58"/>
      <c r="I15" s="104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16" spans="1:9" x14ac:dyDescent="0.3">
      <c r="A16" s="109"/>
      <c r="B16" s="110"/>
      <c r="C16" s="42"/>
      <c r="D16" s="43"/>
      <c r="E16" s="58"/>
      <c r="F16" s="7"/>
      <c r="G16" s="7"/>
      <c r="H16" s="58"/>
      <c r="I16" s="104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17" spans="1:9" x14ac:dyDescent="0.3">
      <c r="A17" s="109"/>
      <c r="B17" s="110"/>
      <c r="C17" s="42"/>
      <c r="D17" s="43"/>
      <c r="E17" s="58"/>
      <c r="F17" s="7"/>
      <c r="G17" s="7"/>
      <c r="H17" s="58"/>
      <c r="I17" s="104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18" spans="1:9" x14ac:dyDescent="0.3">
      <c r="A18" s="109"/>
      <c r="B18" s="110"/>
      <c r="C18" s="42"/>
      <c r="D18" s="43"/>
      <c r="E18" s="58"/>
      <c r="F18" s="7"/>
      <c r="G18" s="7"/>
      <c r="H18" s="58"/>
      <c r="I18" s="104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19" spans="1:9" x14ac:dyDescent="0.3">
      <c r="A19" s="109"/>
      <c r="B19" s="110"/>
      <c r="C19" s="42"/>
      <c r="D19" s="43"/>
      <c r="E19" s="58"/>
      <c r="F19" s="7"/>
      <c r="G19" s="7"/>
      <c r="H19" s="58"/>
      <c r="I19" s="104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20" spans="1:9" x14ac:dyDescent="0.3">
      <c r="A20" s="109"/>
      <c r="B20" s="110"/>
      <c r="C20" s="42"/>
      <c r="D20" s="43"/>
      <c r="E20" s="58"/>
      <c r="F20" s="7"/>
      <c r="G20" s="7"/>
      <c r="H20" s="58"/>
      <c r="I20" s="104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21" spans="1:9" x14ac:dyDescent="0.3">
      <c r="A21" s="109"/>
      <c r="B21" s="110"/>
      <c r="C21" s="42"/>
      <c r="D21" s="43"/>
      <c r="E21" s="58"/>
      <c r="F21" s="7"/>
      <c r="G21" s="7"/>
      <c r="H21" s="58"/>
      <c r="I21" s="104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22" spans="1:9" x14ac:dyDescent="0.3">
      <c r="A22" s="109"/>
      <c r="B22" s="110"/>
      <c r="C22" s="42"/>
      <c r="D22" s="43"/>
      <c r="E22" s="58"/>
      <c r="F22" s="7"/>
      <c r="G22" s="7"/>
      <c r="H22" s="58"/>
      <c r="I22" s="104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23" spans="1:9" x14ac:dyDescent="0.3">
      <c r="A23" s="109"/>
      <c r="B23" s="110"/>
      <c r="C23" s="42"/>
      <c r="D23" s="43"/>
      <c r="E23" s="58"/>
      <c r="F23" s="7"/>
      <c r="G23" s="7"/>
      <c r="H23" s="58"/>
      <c r="I23" s="104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24" spans="1:9" x14ac:dyDescent="0.3">
      <c r="A24" s="109"/>
      <c r="B24" s="110"/>
      <c r="C24" s="45"/>
      <c r="D24" s="46"/>
      <c r="E24" s="59"/>
      <c r="F24" s="11"/>
      <c r="G24" s="11"/>
      <c r="H24" s="59"/>
      <c r="I24" s="106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25" spans="1:9" x14ac:dyDescent="0.3">
      <c r="A25" s="109"/>
      <c r="B25" s="110"/>
      <c r="C25" s="32" t="s">
        <v>14</v>
      </c>
      <c r="D25" s="24">
        <f>SUBTOTAL(103,Ведомость_реестр[Дата])</f>
        <v>2</v>
      </c>
      <c r="E25" s="47"/>
      <c r="F25" s="47"/>
      <c r="G25" s="47"/>
      <c r="H25" s="47"/>
      <c r="I25" s="12"/>
    </row>
  </sheetData>
  <dataValidations count="2">
    <dataValidation type="list" allowBlank="1" showInputMessage="1" showErrorMessage="1" error="В Таблице &quot;Сотрудники&quot; нет такой позиции" prompt="Выберите вариант из списка" sqref="H4:H24">
      <formula1>INDIRECT("Сотрудники[Ф.И.О.]")</formula1>
    </dataValidation>
    <dataValidation type="list" allowBlank="1" showInputMessage="1" showErrorMessage="1" error="В Таблице &quot;ГСМ&quot; нет такой позиции" prompt="Выберите вариант из списка" sqref="E4:E24">
      <formula1>INDIRECT("ГСМ[Обозначение]")</formula1>
    </dataValidation>
  </dataValidations>
  <pageMargins left="0.7" right="0.7" top="0.75" bottom="0.75" header="0.3" footer="0.3"/>
  <ignoredErrors>
    <ignoredError sqref="C6:H7 C4:G4" numberStoredAsText="1"/>
  </ignoredErrors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8"/>
  <sheetViews>
    <sheetView topLeftCell="A13" zoomScaleNormal="100" workbookViewId="0">
      <selection activeCell="L73" sqref="L73"/>
    </sheetView>
  </sheetViews>
  <sheetFormatPr defaultRowHeight="13.2" x14ac:dyDescent="0.3"/>
  <cols>
    <col min="1" max="1" width="2.77734375" style="61" customWidth="1"/>
    <col min="2" max="43" width="2.77734375" style="5" customWidth="1"/>
    <col min="44" max="16384" width="8.88671875" style="5"/>
  </cols>
  <sheetData>
    <row r="1" spans="4:35" x14ac:dyDescent="0.3">
      <c r="Y1" s="5" t="s">
        <v>77</v>
      </c>
    </row>
    <row r="2" spans="4:35" x14ac:dyDescent="0.3">
      <c r="Y2" s="5" t="s">
        <v>78</v>
      </c>
    </row>
    <row r="3" spans="4:35" x14ac:dyDescent="0.3">
      <c r="Y3" s="5" t="s">
        <v>79</v>
      </c>
    </row>
    <row r="4" spans="4:35" x14ac:dyDescent="0.3">
      <c r="Y4" s="5" t="s">
        <v>76</v>
      </c>
      <c r="AI4" s="56"/>
    </row>
    <row r="5" spans="4:35" x14ac:dyDescent="0.3">
      <c r="Y5" s="5" t="s">
        <v>80</v>
      </c>
    </row>
    <row r="7" spans="4:35" ht="14.4" x14ac:dyDescent="0.3">
      <c r="D7" s="152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</row>
    <row r="8" spans="4:35" ht="14.4" x14ac:dyDescent="0.3">
      <c r="E8" s="128" t="s">
        <v>81</v>
      </c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</row>
    <row r="10" spans="4:35" ht="14.4" x14ac:dyDescent="0.3">
      <c r="M10" s="55" t="s">
        <v>82</v>
      </c>
      <c r="R10" s="55" t="s">
        <v>83</v>
      </c>
      <c r="T10" s="152"/>
      <c r="U10" s="154"/>
      <c r="V10" s="154"/>
      <c r="W10" s="62"/>
      <c r="X10" s="16"/>
    </row>
    <row r="12" spans="4:35" ht="14.4" x14ac:dyDescent="0.3">
      <c r="G12" s="55" t="s">
        <v>85</v>
      </c>
      <c r="H12" s="55"/>
      <c r="M12" s="155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</row>
    <row r="13" spans="4:35" ht="14.4" x14ac:dyDescent="0.3">
      <c r="M13" s="128" t="s">
        <v>84</v>
      </c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</row>
    <row r="15" spans="4:35" ht="14.4" x14ac:dyDescent="0.3">
      <c r="N15" s="174"/>
      <c r="O15" s="156"/>
      <c r="P15" s="156"/>
      <c r="Q15" s="156"/>
      <c r="R15" s="156"/>
      <c r="S15" s="156"/>
      <c r="T15" s="156"/>
      <c r="U15" s="156"/>
      <c r="V15" s="156"/>
    </row>
    <row r="17" spans="1:35" x14ac:dyDescent="0.3">
      <c r="X17" s="179" t="s">
        <v>86</v>
      </c>
      <c r="Y17" s="180"/>
      <c r="Z17" s="180"/>
      <c r="AA17" s="180"/>
      <c r="AB17" s="180"/>
      <c r="AC17" s="181"/>
      <c r="AD17" s="175"/>
      <c r="AE17" s="129"/>
      <c r="AF17" s="129"/>
      <c r="AG17" s="129"/>
      <c r="AH17" s="176"/>
    </row>
    <row r="18" spans="1:35" x14ac:dyDescent="0.3">
      <c r="X18" s="180"/>
      <c r="Y18" s="180"/>
      <c r="Z18" s="180"/>
      <c r="AA18" s="180"/>
      <c r="AB18" s="180"/>
      <c r="AC18" s="181"/>
      <c r="AD18" s="177"/>
      <c r="AE18" s="143"/>
      <c r="AF18" s="143"/>
      <c r="AG18" s="143"/>
      <c r="AH18" s="178"/>
    </row>
    <row r="20" spans="1:35" x14ac:dyDescent="0.3">
      <c r="X20" s="179" t="s">
        <v>70</v>
      </c>
      <c r="Y20" s="180"/>
      <c r="Z20" s="180"/>
      <c r="AA20" s="180"/>
      <c r="AB20" s="180"/>
      <c r="AC20" s="181"/>
      <c r="AD20" s="175"/>
      <c r="AE20" s="129"/>
      <c r="AF20" s="129"/>
      <c r="AG20" s="129"/>
      <c r="AH20" s="176"/>
    </row>
    <row r="21" spans="1:35" x14ac:dyDescent="0.3">
      <c r="X21" s="180"/>
      <c r="Y21" s="180"/>
      <c r="Z21" s="180"/>
      <c r="AA21" s="180"/>
      <c r="AB21" s="180"/>
      <c r="AC21" s="181"/>
      <c r="AD21" s="177"/>
      <c r="AE21" s="143"/>
      <c r="AF21" s="143"/>
      <c r="AG21" s="143"/>
      <c r="AH21" s="178"/>
    </row>
    <row r="23" spans="1:35" x14ac:dyDescent="0.3">
      <c r="B23" s="5" t="s">
        <v>87</v>
      </c>
      <c r="X23" s="179" t="s">
        <v>0</v>
      </c>
      <c r="Y23" s="180"/>
      <c r="Z23" s="180"/>
      <c r="AA23" s="180"/>
      <c r="AB23" s="180"/>
      <c r="AC23" s="181"/>
      <c r="AD23" s="175"/>
      <c r="AE23" s="129"/>
      <c r="AF23" s="129"/>
      <c r="AG23" s="129"/>
      <c r="AH23" s="176"/>
    </row>
    <row r="24" spans="1:35" ht="14.4" x14ac:dyDescent="0.3">
      <c r="B24" s="5" t="s">
        <v>88</v>
      </c>
      <c r="D24" s="182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X24" s="180"/>
      <c r="Y24" s="180"/>
      <c r="Z24" s="180"/>
      <c r="AA24" s="180"/>
      <c r="AB24" s="180"/>
      <c r="AC24" s="181"/>
      <c r="AD24" s="177"/>
      <c r="AE24" s="143"/>
      <c r="AF24" s="143"/>
      <c r="AG24" s="143"/>
      <c r="AH24" s="178"/>
    </row>
    <row r="25" spans="1:35" ht="14.4" x14ac:dyDescent="0.3">
      <c r="D25" s="128" t="s">
        <v>89</v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</row>
    <row r="27" spans="1:35" x14ac:dyDescent="0.3">
      <c r="A27" s="157" t="s">
        <v>2</v>
      </c>
      <c r="B27" s="133"/>
      <c r="C27" s="133"/>
      <c r="D27" s="133"/>
      <c r="E27" s="133"/>
      <c r="F27" s="133"/>
      <c r="G27" s="133"/>
      <c r="H27" s="158"/>
      <c r="I27" s="157" t="s">
        <v>9</v>
      </c>
      <c r="J27" s="165"/>
      <c r="K27" s="166"/>
      <c r="L27" s="157" t="s">
        <v>93</v>
      </c>
      <c r="M27" s="133"/>
      <c r="N27" s="133"/>
      <c r="O27" s="133"/>
      <c r="P27" s="133"/>
      <c r="Q27" s="133"/>
      <c r="R27" s="158"/>
      <c r="S27" s="157" t="s">
        <v>92</v>
      </c>
      <c r="T27" s="133"/>
      <c r="U27" s="158"/>
      <c r="V27" s="157" t="s">
        <v>94</v>
      </c>
      <c r="W27" s="133"/>
      <c r="X27" s="133"/>
      <c r="Y27" s="133"/>
      <c r="Z27" s="133"/>
      <c r="AA27" s="133"/>
      <c r="AB27" s="133"/>
      <c r="AC27" s="133"/>
      <c r="AD27" s="158"/>
      <c r="AE27" s="157" t="s">
        <v>95</v>
      </c>
      <c r="AF27" s="133"/>
      <c r="AG27" s="133"/>
      <c r="AH27" s="133"/>
      <c r="AI27" s="158"/>
    </row>
    <row r="28" spans="1:35" x14ac:dyDescent="0.3">
      <c r="A28" s="162"/>
      <c r="B28" s="163"/>
      <c r="C28" s="163"/>
      <c r="D28" s="163"/>
      <c r="E28" s="163"/>
      <c r="F28" s="163"/>
      <c r="G28" s="163"/>
      <c r="H28" s="164"/>
      <c r="I28" s="167"/>
      <c r="J28" s="168"/>
      <c r="K28" s="169"/>
      <c r="L28" s="159"/>
      <c r="M28" s="160"/>
      <c r="N28" s="160"/>
      <c r="O28" s="160"/>
      <c r="P28" s="160"/>
      <c r="Q28" s="160"/>
      <c r="R28" s="161"/>
      <c r="S28" s="159"/>
      <c r="T28" s="160"/>
      <c r="U28" s="161"/>
      <c r="V28" s="162"/>
      <c r="W28" s="163"/>
      <c r="X28" s="163"/>
      <c r="Y28" s="163"/>
      <c r="Z28" s="163"/>
      <c r="AA28" s="163"/>
      <c r="AB28" s="163"/>
      <c r="AC28" s="163"/>
      <c r="AD28" s="164"/>
      <c r="AE28" s="159"/>
      <c r="AF28" s="184"/>
      <c r="AG28" s="184"/>
      <c r="AH28" s="184"/>
      <c r="AI28" s="161"/>
    </row>
    <row r="29" spans="1:35" ht="14.4" x14ac:dyDescent="0.3">
      <c r="A29" s="146" t="s">
        <v>3</v>
      </c>
      <c r="B29" s="147"/>
      <c r="C29" s="147"/>
      <c r="D29" s="148"/>
      <c r="E29" s="146" t="s">
        <v>4</v>
      </c>
      <c r="F29" s="147"/>
      <c r="G29" s="147"/>
      <c r="H29" s="148"/>
      <c r="I29" s="170"/>
      <c r="J29" s="171"/>
      <c r="K29" s="172"/>
      <c r="L29" s="162"/>
      <c r="M29" s="163"/>
      <c r="N29" s="163"/>
      <c r="O29" s="163"/>
      <c r="P29" s="163"/>
      <c r="Q29" s="163"/>
      <c r="R29" s="164"/>
      <c r="S29" s="162"/>
      <c r="T29" s="163"/>
      <c r="U29" s="164"/>
      <c r="V29" s="149" t="s">
        <v>90</v>
      </c>
      <c r="W29" s="150"/>
      <c r="X29" s="150"/>
      <c r="Y29" s="151"/>
      <c r="Z29" s="149" t="s">
        <v>91</v>
      </c>
      <c r="AA29" s="150"/>
      <c r="AB29" s="150"/>
      <c r="AC29" s="150"/>
      <c r="AD29" s="151"/>
      <c r="AE29" s="162"/>
      <c r="AF29" s="163"/>
      <c r="AG29" s="163"/>
      <c r="AH29" s="163"/>
      <c r="AI29" s="164"/>
    </row>
    <row r="30" spans="1:35" ht="14.4" x14ac:dyDescent="0.3">
      <c r="A30" s="146">
        <v>1</v>
      </c>
      <c r="B30" s="147"/>
      <c r="C30" s="147"/>
      <c r="D30" s="148"/>
      <c r="E30" s="146">
        <v>2</v>
      </c>
      <c r="F30" s="147"/>
      <c r="G30" s="147"/>
      <c r="H30" s="148"/>
      <c r="I30" s="146">
        <v>3</v>
      </c>
      <c r="J30" s="147"/>
      <c r="K30" s="148"/>
      <c r="L30" s="149">
        <v>4</v>
      </c>
      <c r="M30" s="150"/>
      <c r="N30" s="150"/>
      <c r="O30" s="150"/>
      <c r="P30" s="150"/>
      <c r="Q30" s="150"/>
      <c r="R30" s="151"/>
      <c r="S30" s="146">
        <v>5</v>
      </c>
      <c r="T30" s="147"/>
      <c r="U30" s="148"/>
      <c r="V30" s="149">
        <v>6</v>
      </c>
      <c r="W30" s="150"/>
      <c r="X30" s="150"/>
      <c r="Y30" s="151"/>
      <c r="Z30" s="149">
        <v>7</v>
      </c>
      <c r="AA30" s="150"/>
      <c r="AB30" s="150"/>
      <c r="AC30" s="150"/>
      <c r="AD30" s="151"/>
      <c r="AE30" s="146">
        <v>8</v>
      </c>
      <c r="AF30" s="147"/>
      <c r="AG30" s="147"/>
      <c r="AH30" s="147"/>
      <c r="AI30" s="148"/>
    </row>
    <row r="31" spans="1:35" ht="14.4" x14ac:dyDescent="0.3">
      <c r="A31" s="139"/>
      <c r="B31" s="140"/>
      <c r="C31" s="140"/>
      <c r="D31" s="141"/>
      <c r="E31" s="139"/>
      <c r="F31" s="140"/>
      <c r="G31" s="140"/>
      <c r="H31" s="141"/>
      <c r="I31" s="139"/>
      <c r="J31" s="140"/>
      <c r="K31" s="141"/>
      <c r="L31" s="136"/>
      <c r="M31" s="137"/>
      <c r="N31" s="137"/>
      <c r="O31" s="137"/>
      <c r="P31" s="137"/>
      <c r="Q31" s="137"/>
      <c r="R31" s="138"/>
      <c r="S31" s="139"/>
      <c r="T31" s="140"/>
      <c r="U31" s="141"/>
      <c r="V31" s="136"/>
      <c r="W31" s="137"/>
      <c r="X31" s="137"/>
      <c r="Y31" s="138"/>
      <c r="Z31" s="136"/>
      <c r="AA31" s="137"/>
      <c r="AB31" s="137"/>
      <c r="AC31" s="137"/>
      <c r="AD31" s="138"/>
      <c r="AE31" s="139"/>
      <c r="AF31" s="140"/>
      <c r="AG31" s="140"/>
      <c r="AH31" s="140"/>
      <c r="AI31" s="141"/>
    </row>
    <row r="32" spans="1:35" ht="14.4" x14ac:dyDescent="0.3">
      <c r="A32" s="63"/>
      <c r="B32" s="64"/>
      <c r="C32" s="64"/>
      <c r="D32" s="65"/>
      <c r="E32" s="8"/>
      <c r="F32" s="64"/>
      <c r="G32" s="64"/>
      <c r="H32" s="65"/>
      <c r="I32" s="8"/>
      <c r="J32" s="64"/>
      <c r="K32" s="65"/>
      <c r="L32" s="44"/>
      <c r="M32" s="66"/>
      <c r="N32" s="66"/>
      <c r="O32" s="66"/>
      <c r="P32" s="66"/>
      <c r="Q32" s="66"/>
      <c r="R32" s="67"/>
      <c r="S32" s="8"/>
      <c r="T32" s="64"/>
      <c r="U32" s="65"/>
      <c r="V32" s="44"/>
      <c r="W32" s="66"/>
      <c r="X32" s="66"/>
      <c r="Y32" s="67"/>
      <c r="Z32" s="44"/>
      <c r="AA32" s="66"/>
      <c r="AB32" s="66"/>
      <c r="AC32" s="66"/>
      <c r="AD32" s="67"/>
      <c r="AE32" s="8"/>
      <c r="AF32" s="64"/>
      <c r="AG32" s="64"/>
      <c r="AH32" s="64"/>
      <c r="AI32" s="65"/>
    </row>
    <row r="33" spans="1:35" ht="14.4" x14ac:dyDescent="0.3">
      <c r="A33" s="63"/>
      <c r="B33" s="64"/>
      <c r="C33" s="64"/>
      <c r="D33" s="65"/>
      <c r="E33" s="8"/>
      <c r="F33" s="64"/>
      <c r="G33" s="64"/>
      <c r="H33" s="65"/>
      <c r="I33" s="8"/>
      <c r="J33" s="64"/>
      <c r="K33" s="65"/>
      <c r="L33" s="44"/>
      <c r="M33" s="66"/>
      <c r="N33" s="66"/>
      <c r="O33" s="66"/>
      <c r="P33" s="66"/>
      <c r="Q33" s="66"/>
      <c r="R33" s="67"/>
      <c r="S33" s="8"/>
      <c r="T33" s="64"/>
      <c r="U33" s="65"/>
      <c r="V33" s="44"/>
      <c r="W33" s="66"/>
      <c r="X33" s="66"/>
      <c r="Y33" s="67"/>
      <c r="Z33" s="44"/>
      <c r="AA33" s="66"/>
      <c r="AB33" s="66"/>
      <c r="AC33" s="66"/>
      <c r="AD33" s="67"/>
      <c r="AE33" s="8"/>
      <c r="AF33" s="64"/>
      <c r="AG33" s="64"/>
      <c r="AH33" s="64"/>
      <c r="AI33" s="65"/>
    </row>
    <row r="34" spans="1:35" ht="14.4" x14ac:dyDescent="0.3">
      <c r="A34" s="63"/>
      <c r="B34" s="64"/>
      <c r="C34" s="64"/>
      <c r="D34" s="65"/>
      <c r="E34" s="8"/>
      <c r="F34" s="64"/>
      <c r="G34" s="64"/>
      <c r="H34" s="65"/>
      <c r="I34" s="8"/>
      <c r="J34" s="64"/>
      <c r="K34" s="65"/>
      <c r="L34" s="44"/>
      <c r="M34" s="66"/>
      <c r="N34" s="66"/>
      <c r="O34" s="66"/>
      <c r="P34" s="66"/>
      <c r="Q34" s="66"/>
      <c r="R34" s="67"/>
      <c r="S34" s="8"/>
      <c r="T34" s="64"/>
      <c r="U34" s="65"/>
      <c r="V34" s="44"/>
      <c r="W34" s="66"/>
      <c r="X34" s="66"/>
      <c r="Y34" s="67"/>
      <c r="Z34" s="44"/>
      <c r="AA34" s="66"/>
      <c r="AB34" s="66"/>
      <c r="AC34" s="66"/>
      <c r="AD34" s="67"/>
      <c r="AE34" s="8"/>
      <c r="AF34" s="64"/>
      <c r="AG34" s="64"/>
      <c r="AH34" s="64"/>
      <c r="AI34" s="65"/>
    </row>
    <row r="35" spans="1:35" ht="14.4" x14ac:dyDescent="0.3">
      <c r="A35" s="63"/>
      <c r="B35" s="64"/>
      <c r="C35" s="64"/>
      <c r="D35" s="65"/>
      <c r="E35" s="8"/>
      <c r="F35" s="64"/>
      <c r="G35" s="64"/>
      <c r="H35" s="65"/>
      <c r="I35" s="8"/>
      <c r="J35" s="64"/>
      <c r="K35" s="65"/>
      <c r="L35" s="44"/>
      <c r="M35" s="66"/>
      <c r="N35" s="66"/>
      <c r="O35" s="66"/>
      <c r="P35" s="66"/>
      <c r="Q35" s="66"/>
      <c r="R35" s="67"/>
      <c r="S35" s="8"/>
      <c r="T35" s="64"/>
      <c r="U35" s="65"/>
      <c r="V35" s="44"/>
      <c r="W35" s="66"/>
      <c r="X35" s="66"/>
      <c r="Y35" s="67"/>
      <c r="Z35" s="44"/>
      <c r="AA35" s="66"/>
      <c r="AB35" s="66"/>
      <c r="AC35" s="66"/>
      <c r="AD35" s="67"/>
      <c r="AE35" s="8"/>
      <c r="AF35" s="64"/>
      <c r="AG35" s="64"/>
      <c r="AH35" s="64"/>
      <c r="AI35" s="65"/>
    </row>
    <row r="36" spans="1:35" ht="14.4" x14ac:dyDescent="0.3">
      <c r="A36" s="63"/>
      <c r="B36" s="64"/>
      <c r="C36" s="64"/>
      <c r="D36" s="65"/>
      <c r="E36" s="8"/>
      <c r="F36" s="64"/>
      <c r="G36" s="64"/>
      <c r="H36" s="65"/>
      <c r="I36" s="8"/>
      <c r="J36" s="64"/>
      <c r="K36" s="65"/>
      <c r="L36" s="44"/>
      <c r="M36" s="66"/>
      <c r="N36" s="66"/>
      <c r="O36" s="66"/>
      <c r="P36" s="66"/>
      <c r="Q36" s="66"/>
      <c r="R36" s="67"/>
      <c r="S36" s="8"/>
      <c r="T36" s="64"/>
      <c r="U36" s="65"/>
      <c r="V36" s="44"/>
      <c r="W36" s="66"/>
      <c r="X36" s="66"/>
      <c r="Y36" s="67"/>
      <c r="Z36" s="44"/>
      <c r="AA36" s="66"/>
      <c r="AB36" s="66"/>
      <c r="AC36" s="66"/>
      <c r="AD36" s="67"/>
      <c r="AE36" s="8"/>
      <c r="AF36" s="64"/>
      <c r="AG36" s="64"/>
      <c r="AH36" s="64"/>
      <c r="AI36" s="65"/>
    </row>
    <row r="37" spans="1:35" ht="14.4" x14ac:dyDescent="0.3">
      <c r="A37" s="63"/>
      <c r="B37" s="64"/>
      <c r="C37" s="64"/>
      <c r="D37" s="65"/>
      <c r="E37" s="8"/>
      <c r="F37" s="64"/>
      <c r="G37" s="64"/>
      <c r="H37" s="65"/>
      <c r="I37" s="8"/>
      <c r="J37" s="64"/>
      <c r="K37" s="65"/>
      <c r="L37" s="44"/>
      <c r="M37" s="66"/>
      <c r="N37" s="66"/>
      <c r="O37" s="66"/>
      <c r="P37" s="66"/>
      <c r="Q37" s="66"/>
      <c r="R37" s="67"/>
      <c r="S37" s="8"/>
      <c r="T37" s="64"/>
      <c r="U37" s="65"/>
      <c r="V37" s="44"/>
      <c r="W37" s="66"/>
      <c r="X37" s="66"/>
      <c r="Y37" s="67"/>
      <c r="Z37" s="44"/>
      <c r="AA37" s="66"/>
      <c r="AB37" s="66"/>
      <c r="AC37" s="66"/>
      <c r="AD37" s="67"/>
      <c r="AE37" s="8"/>
      <c r="AF37" s="64"/>
      <c r="AG37" s="64"/>
      <c r="AH37" s="64"/>
      <c r="AI37" s="65"/>
    </row>
    <row r="38" spans="1:35" ht="14.4" x14ac:dyDescent="0.3">
      <c r="A38" s="63"/>
      <c r="B38" s="64"/>
      <c r="C38" s="64"/>
      <c r="D38" s="65"/>
      <c r="E38" s="8"/>
      <c r="F38" s="64"/>
      <c r="G38" s="64"/>
      <c r="H38" s="65"/>
      <c r="I38" s="8"/>
      <c r="J38" s="64"/>
      <c r="K38" s="65"/>
      <c r="L38" s="44"/>
      <c r="M38" s="66"/>
      <c r="N38" s="66"/>
      <c r="O38" s="66"/>
      <c r="P38" s="66"/>
      <c r="Q38" s="66"/>
      <c r="R38" s="67"/>
      <c r="S38" s="8"/>
      <c r="T38" s="64"/>
      <c r="U38" s="65"/>
      <c r="V38" s="44"/>
      <c r="W38" s="66"/>
      <c r="X38" s="66"/>
      <c r="Y38" s="67"/>
      <c r="Z38" s="44"/>
      <c r="AA38" s="66"/>
      <c r="AB38" s="66"/>
      <c r="AC38" s="66"/>
      <c r="AD38" s="67"/>
      <c r="AE38" s="8"/>
      <c r="AF38" s="64"/>
      <c r="AG38" s="64"/>
      <c r="AH38" s="64"/>
      <c r="AI38" s="65"/>
    </row>
    <row r="39" spans="1:35" ht="14.4" x14ac:dyDescent="0.3">
      <c r="A39" s="63"/>
      <c r="B39" s="64"/>
      <c r="C39" s="64"/>
      <c r="D39" s="65"/>
      <c r="E39" s="8"/>
      <c r="F39" s="64"/>
      <c r="G39" s="64"/>
      <c r="H39" s="65"/>
      <c r="I39" s="8"/>
      <c r="J39" s="64"/>
      <c r="K39" s="65"/>
      <c r="L39" s="44"/>
      <c r="M39" s="66"/>
      <c r="N39" s="66"/>
      <c r="O39" s="66"/>
      <c r="P39" s="66"/>
      <c r="Q39" s="66"/>
      <c r="R39" s="67"/>
      <c r="S39" s="8"/>
      <c r="T39" s="64"/>
      <c r="U39" s="65"/>
      <c r="V39" s="44"/>
      <c r="W39" s="66"/>
      <c r="X39" s="66"/>
      <c r="Y39" s="67"/>
      <c r="Z39" s="44"/>
      <c r="AA39" s="66"/>
      <c r="AB39" s="66"/>
      <c r="AC39" s="66"/>
      <c r="AD39" s="67"/>
      <c r="AE39" s="8"/>
      <c r="AF39" s="64"/>
      <c r="AG39" s="64"/>
      <c r="AH39" s="64"/>
      <c r="AI39" s="65"/>
    </row>
    <row r="40" spans="1:35" ht="14.4" x14ac:dyDescent="0.3">
      <c r="A40" s="63"/>
      <c r="B40" s="64"/>
      <c r="C40" s="64"/>
      <c r="D40" s="65"/>
      <c r="E40" s="8"/>
      <c r="F40" s="64"/>
      <c r="G40" s="64"/>
      <c r="H40" s="65"/>
      <c r="I40" s="8"/>
      <c r="J40" s="64"/>
      <c r="K40" s="65"/>
      <c r="L40" s="44"/>
      <c r="M40" s="66"/>
      <c r="N40" s="66"/>
      <c r="O40" s="66"/>
      <c r="P40" s="66"/>
      <c r="Q40" s="66"/>
      <c r="R40" s="67"/>
      <c r="S40" s="8"/>
      <c r="T40" s="64"/>
      <c r="U40" s="65"/>
      <c r="V40" s="44"/>
      <c r="W40" s="66"/>
      <c r="X40" s="66"/>
      <c r="Y40" s="67"/>
      <c r="Z40" s="44"/>
      <c r="AA40" s="66"/>
      <c r="AB40" s="66"/>
      <c r="AC40" s="66"/>
      <c r="AD40" s="67"/>
      <c r="AE40" s="8"/>
      <c r="AF40" s="64"/>
      <c r="AG40" s="64"/>
      <c r="AH40" s="64"/>
      <c r="AI40" s="65"/>
    </row>
    <row r="41" spans="1:35" ht="14.4" x14ac:dyDescent="0.3">
      <c r="A41" s="63"/>
      <c r="B41" s="64"/>
      <c r="C41" s="64"/>
      <c r="D41" s="65"/>
      <c r="E41" s="8"/>
      <c r="F41" s="64"/>
      <c r="G41" s="64"/>
      <c r="H41" s="65"/>
      <c r="I41" s="8"/>
      <c r="J41" s="64"/>
      <c r="K41" s="65"/>
      <c r="L41" s="44"/>
      <c r="M41" s="66"/>
      <c r="N41" s="66"/>
      <c r="O41" s="66"/>
      <c r="P41" s="66"/>
      <c r="Q41" s="66"/>
      <c r="R41" s="67"/>
      <c r="S41" s="8"/>
      <c r="T41" s="64"/>
      <c r="U41" s="65"/>
      <c r="V41" s="44"/>
      <c r="W41" s="66"/>
      <c r="X41" s="66"/>
      <c r="Y41" s="67"/>
      <c r="Z41" s="44"/>
      <c r="AA41" s="66"/>
      <c r="AB41" s="66"/>
      <c r="AC41" s="66"/>
      <c r="AD41" s="67"/>
      <c r="AE41" s="8"/>
      <c r="AF41" s="64"/>
      <c r="AG41" s="64"/>
      <c r="AH41" s="64"/>
      <c r="AI41" s="65"/>
    </row>
    <row r="42" spans="1:35" ht="14.4" x14ac:dyDescent="0.3">
      <c r="A42" s="63"/>
      <c r="B42" s="64"/>
      <c r="C42" s="64"/>
      <c r="D42" s="65"/>
      <c r="E42" s="8"/>
      <c r="F42" s="64"/>
      <c r="G42" s="64"/>
      <c r="H42" s="65"/>
      <c r="I42" s="8"/>
      <c r="J42" s="64"/>
      <c r="K42" s="65"/>
      <c r="L42" s="44"/>
      <c r="M42" s="66"/>
      <c r="N42" s="66"/>
      <c r="O42" s="66"/>
      <c r="P42" s="66"/>
      <c r="Q42" s="66"/>
      <c r="R42" s="67"/>
      <c r="S42" s="8"/>
      <c r="T42" s="64"/>
      <c r="U42" s="65"/>
      <c r="V42" s="44"/>
      <c r="W42" s="66"/>
      <c r="X42" s="66"/>
      <c r="Y42" s="67"/>
      <c r="Z42" s="44"/>
      <c r="AA42" s="66"/>
      <c r="AB42" s="66"/>
      <c r="AC42" s="66"/>
      <c r="AD42" s="67"/>
      <c r="AE42" s="8"/>
      <c r="AF42" s="64"/>
      <c r="AG42" s="64"/>
      <c r="AH42" s="64"/>
      <c r="AI42" s="65"/>
    </row>
    <row r="43" spans="1:35" ht="14.4" x14ac:dyDescent="0.3">
      <c r="A43" s="63"/>
      <c r="B43" s="64"/>
      <c r="C43" s="64"/>
      <c r="D43" s="65"/>
      <c r="E43" s="8"/>
      <c r="F43" s="64"/>
      <c r="G43" s="64"/>
      <c r="H43" s="65"/>
      <c r="I43" s="8"/>
      <c r="J43" s="64"/>
      <c r="K43" s="65"/>
      <c r="L43" s="44"/>
      <c r="M43" s="66"/>
      <c r="N43" s="66"/>
      <c r="O43" s="66"/>
      <c r="P43" s="66"/>
      <c r="Q43" s="66"/>
      <c r="R43" s="67"/>
      <c r="S43" s="8"/>
      <c r="T43" s="64"/>
      <c r="U43" s="65"/>
      <c r="V43" s="44"/>
      <c r="W43" s="66"/>
      <c r="X43" s="66"/>
      <c r="Y43" s="67"/>
      <c r="Z43" s="44"/>
      <c r="AA43" s="66"/>
      <c r="AB43" s="66"/>
      <c r="AC43" s="66"/>
      <c r="AD43" s="67"/>
      <c r="AE43" s="8"/>
      <c r="AF43" s="64"/>
      <c r="AG43" s="64"/>
      <c r="AH43" s="64"/>
      <c r="AI43" s="65"/>
    </row>
    <row r="44" spans="1:35" ht="14.4" x14ac:dyDescent="0.3">
      <c r="A44" s="63"/>
      <c r="B44" s="64"/>
      <c r="C44" s="64"/>
      <c r="D44" s="65"/>
      <c r="E44" s="8"/>
      <c r="F44" s="64"/>
      <c r="G44" s="64"/>
      <c r="H44" s="65"/>
      <c r="I44" s="8"/>
      <c r="J44" s="64"/>
      <c r="K44" s="65"/>
      <c r="L44" s="44"/>
      <c r="M44" s="66"/>
      <c r="N44" s="66"/>
      <c r="O44" s="66"/>
      <c r="P44" s="66"/>
      <c r="Q44" s="66"/>
      <c r="R44" s="67"/>
      <c r="S44" s="8"/>
      <c r="T44" s="64"/>
      <c r="U44" s="65"/>
      <c r="V44" s="44"/>
      <c r="W44" s="66"/>
      <c r="X44" s="66"/>
      <c r="Y44" s="67"/>
      <c r="Z44" s="44"/>
      <c r="AA44" s="66"/>
      <c r="AB44" s="66"/>
      <c r="AC44" s="66"/>
      <c r="AD44" s="67"/>
      <c r="AE44" s="8"/>
      <c r="AF44" s="64"/>
      <c r="AG44" s="64"/>
      <c r="AH44" s="64"/>
      <c r="AI44" s="65"/>
    </row>
    <row r="45" spans="1:35" ht="14.4" x14ac:dyDescent="0.3">
      <c r="A45" s="63"/>
      <c r="B45" s="64"/>
      <c r="C45" s="64"/>
      <c r="D45" s="65"/>
      <c r="E45" s="8"/>
      <c r="F45" s="64"/>
      <c r="G45" s="64"/>
      <c r="H45" s="65"/>
      <c r="I45" s="8"/>
      <c r="J45" s="64"/>
      <c r="K45" s="65"/>
      <c r="L45" s="44"/>
      <c r="M45" s="66"/>
      <c r="N45" s="66"/>
      <c r="O45" s="66"/>
      <c r="P45" s="66"/>
      <c r="Q45" s="66"/>
      <c r="R45" s="67"/>
      <c r="S45" s="8"/>
      <c r="T45" s="64"/>
      <c r="U45" s="65"/>
      <c r="V45" s="44"/>
      <c r="W45" s="66"/>
      <c r="X45" s="66"/>
      <c r="Y45" s="67"/>
      <c r="Z45" s="44"/>
      <c r="AA45" s="66"/>
      <c r="AB45" s="66"/>
      <c r="AC45" s="66"/>
      <c r="AD45" s="67"/>
      <c r="AE45" s="8"/>
      <c r="AF45" s="64"/>
      <c r="AG45" s="64"/>
      <c r="AH45" s="64"/>
      <c r="AI45" s="65"/>
    </row>
    <row r="46" spans="1:35" ht="14.4" x14ac:dyDescent="0.3">
      <c r="A46" s="63"/>
      <c r="B46" s="64"/>
      <c r="C46" s="64"/>
      <c r="D46" s="65"/>
      <c r="E46" s="8"/>
      <c r="F46" s="64"/>
      <c r="G46" s="64"/>
      <c r="H46" s="65"/>
      <c r="I46" s="8"/>
      <c r="J46" s="64"/>
      <c r="K46" s="65"/>
      <c r="L46" s="44"/>
      <c r="M46" s="66"/>
      <c r="N46" s="66"/>
      <c r="O46" s="66"/>
      <c r="P46" s="66"/>
      <c r="Q46" s="66"/>
      <c r="R46" s="67"/>
      <c r="S46" s="8"/>
      <c r="T46" s="64"/>
      <c r="U46" s="65"/>
      <c r="V46" s="44"/>
      <c r="W46" s="66"/>
      <c r="X46" s="66"/>
      <c r="Y46" s="67"/>
      <c r="Z46" s="44"/>
      <c r="AA46" s="66"/>
      <c r="AB46" s="66"/>
      <c r="AC46" s="66"/>
      <c r="AD46" s="67"/>
      <c r="AE46" s="8"/>
      <c r="AF46" s="64"/>
      <c r="AG46" s="64"/>
      <c r="AH46" s="64"/>
      <c r="AI46" s="65"/>
    </row>
    <row r="47" spans="1:35" ht="14.4" x14ac:dyDescent="0.3">
      <c r="A47" s="63"/>
      <c r="B47" s="64"/>
      <c r="C47" s="64"/>
      <c r="D47" s="65"/>
      <c r="E47" s="8"/>
      <c r="F47" s="64"/>
      <c r="G47" s="64"/>
      <c r="H47" s="65"/>
      <c r="I47" s="8"/>
      <c r="J47" s="64"/>
      <c r="K47" s="65"/>
      <c r="L47" s="44"/>
      <c r="M47" s="66"/>
      <c r="N47" s="66"/>
      <c r="O47" s="66"/>
      <c r="P47" s="66"/>
      <c r="Q47" s="66"/>
      <c r="R47" s="67"/>
      <c r="S47" s="8"/>
      <c r="T47" s="64"/>
      <c r="U47" s="65"/>
      <c r="V47" s="44"/>
      <c r="W47" s="66"/>
      <c r="X47" s="66"/>
      <c r="Y47" s="67"/>
      <c r="Z47" s="44"/>
      <c r="AA47" s="66"/>
      <c r="AB47" s="66"/>
      <c r="AC47" s="66"/>
      <c r="AD47" s="67"/>
      <c r="AE47" s="8"/>
      <c r="AF47" s="64"/>
      <c r="AG47" s="64"/>
      <c r="AH47" s="64"/>
      <c r="AI47" s="65"/>
    </row>
    <row r="48" spans="1:35" ht="14.4" x14ac:dyDescent="0.3">
      <c r="A48" s="63"/>
      <c r="B48" s="64"/>
      <c r="C48" s="64"/>
      <c r="D48" s="65"/>
      <c r="E48" s="8"/>
      <c r="F48" s="64"/>
      <c r="G48" s="64"/>
      <c r="H48" s="65"/>
      <c r="I48" s="8"/>
      <c r="J48" s="64"/>
      <c r="K48" s="65"/>
      <c r="L48" s="44"/>
      <c r="M48" s="66"/>
      <c r="N48" s="66"/>
      <c r="O48" s="66"/>
      <c r="P48" s="66"/>
      <c r="Q48" s="66"/>
      <c r="R48" s="67"/>
      <c r="S48" s="8"/>
      <c r="T48" s="64"/>
      <c r="U48" s="65"/>
      <c r="V48" s="44"/>
      <c r="W48" s="66"/>
      <c r="X48" s="66"/>
      <c r="Y48" s="67"/>
      <c r="Z48" s="44"/>
      <c r="AA48" s="66"/>
      <c r="AB48" s="66"/>
      <c r="AC48" s="66"/>
      <c r="AD48" s="67"/>
      <c r="AE48" s="8"/>
      <c r="AF48" s="64"/>
      <c r="AG48" s="64"/>
      <c r="AH48" s="64"/>
      <c r="AI48" s="65"/>
    </row>
    <row r="49" spans="1:35" ht="14.4" x14ac:dyDescent="0.3">
      <c r="A49" s="63"/>
      <c r="B49" s="64"/>
      <c r="C49" s="64"/>
      <c r="D49" s="65"/>
      <c r="E49" s="8"/>
      <c r="F49" s="64"/>
      <c r="G49" s="64"/>
      <c r="H49" s="65"/>
      <c r="I49" s="8"/>
      <c r="J49" s="64"/>
      <c r="K49" s="65"/>
      <c r="L49" s="44"/>
      <c r="M49" s="66"/>
      <c r="N49" s="66"/>
      <c r="O49" s="66"/>
      <c r="P49" s="66"/>
      <c r="Q49" s="66"/>
      <c r="R49" s="67"/>
      <c r="S49" s="8"/>
      <c r="T49" s="64"/>
      <c r="U49" s="65"/>
      <c r="V49" s="44"/>
      <c r="W49" s="66"/>
      <c r="X49" s="66"/>
      <c r="Y49" s="67"/>
      <c r="Z49" s="44"/>
      <c r="AA49" s="66"/>
      <c r="AB49" s="66"/>
      <c r="AC49" s="66"/>
      <c r="AD49" s="67"/>
      <c r="AE49" s="8"/>
      <c r="AF49" s="64"/>
      <c r="AG49" s="64"/>
      <c r="AH49" s="64"/>
      <c r="AI49" s="65"/>
    </row>
    <row r="50" spans="1:35" ht="14.4" x14ac:dyDescent="0.3">
      <c r="A50" s="63"/>
      <c r="B50" s="64"/>
      <c r="C50" s="64"/>
      <c r="D50" s="65"/>
      <c r="E50" s="8"/>
      <c r="F50" s="64"/>
      <c r="G50" s="64"/>
      <c r="H50" s="65"/>
      <c r="I50" s="8"/>
      <c r="J50" s="64"/>
      <c r="K50" s="65"/>
      <c r="L50" s="44"/>
      <c r="M50" s="66"/>
      <c r="N50" s="66"/>
      <c r="O50" s="66"/>
      <c r="P50" s="66"/>
      <c r="Q50" s="66"/>
      <c r="R50" s="67"/>
      <c r="S50" s="8"/>
      <c r="T50" s="64"/>
      <c r="U50" s="65"/>
      <c r="V50" s="44"/>
      <c r="W50" s="66"/>
      <c r="X50" s="66"/>
      <c r="Y50" s="67"/>
      <c r="Z50" s="44"/>
      <c r="AA50" s="66"/>
      <c r="AB50" s="66"/>
      <c r="AC50" s="66"/>
      <c r="AD50" s="67"/>
      <c r="AE50" s="8"/>
      <c r="AF50" s="64"/>
      <c r="AG50" s="64"/>
      <c r="AH50" s="64"/>
      <c r="AI50" s="65"/>
    </row>
    <row r="51" spans="1:35" ht="14.4" x14ac:dyDescent="0.3">
      <c r="A51" s="63"/>
      <c r="B51" s="64"/>
      <c r="C51" s="64"/>
      <c r="D51" s="65"/>
      <c r="E51" s="8"/>
      <c r="F51" s="64"/>
      <c r="G51" s="64"/>
      <c r="H51" s="65"/>
      <c r="I51" s="8"/>
      <c r="J51" s="64"/>
      <c r="K51" s="65"/>
      <c r="L51" s="44"/>
      <c r="M51" s="66"/>
      <c r="N51" s="66"/>
      <c r="O51" s="66"/>
      <c r="P51" s="66"/>
      <c r="Q51" s="66"/>
      <c r="R51" s="67"/>
      <c r="S51" s="8"/>
      <c r="T51" s="64"/>
      <c r="U51" s="65"/>
      <c r="V51" s="44"/>
      <c r="W51" s="66"/>
      <c r="X51" s="66"/>
      <c r="Y51" s="67"/>
      <c r="Z51" s="44"/>
      <c r="AA51" s="66"/>
      <c r="AB51" s="66"/>
      <c r="AC51" s="66"/>
      <c r="AD51" s="67"/>
      <c r="AE51" s="8"/>
      <c r="AF51" s="64"/>
      <c r="AG51" s="64"/>
      <c r="AH51" s="64"/>
      <c r="AI51" s="65"/>
    </row>
    <row r="52" spans="1:35" ht="14.4" x14ac:dyDescent="0.3">
      <c r="A52" s="139"/>
      <c r="B52" s="140"/>
      <c r="C52" s="140"/>
      <c r="D52" s="141"/>
      <c r="E52" s="139"/>
      <c r="F52" s="140"/>
      <c r="G52" s="140"/>
      <c r="H52" s="141"/>
      <c r="I52" s="139"/>
      <c r="J52" s="140"/>
      <c r="K52" s="141"/>
      <c r="L52" s="136"/>
      <c r="M52" s="137"/>
      <c r="N52" s="137"/>
      <c r="O52" s="137"/>
      <c r="P52" s="137"/>
      <c r="Q52" s="137"/>
      <c r="R52" s="138"/>
      <c r="S52" s="139"/>
      <c r="T52" s="140"/>
      <c r="U52" s="141"/>
      <c r="V52" s="136"/>
      <c r="W52" s="137"/>
      <c r="X52" s="137"/>
      <c r="Y52" s="138"/>
      <c r="Z52" s="136"/>
      <c r="AA52" s="137"/>
      <c r="AB52" s="137"/>
      <c r="AC52" s="137"/>
      <c r="AD52" s="138"/>
      <c r="AE52" s="139"/>
      <c r="AF52" s="140"/>
      <c r="AG52" s="140"/>
      <c r="AH52" s="140"/>
      <c r="AI52" s="141"/>
    </row>
    <row r="53" spans="1:35" ht="14.4" x14ac:dyDescent="0.3">
      <c r="A53" s="139"/>
      <c r="B53" s="140"/>
      <c r="C53" s="140"/>
      <c r="D53" s="141"/>
      <c r="E53" s="139"/>
      <c r="F53" s="140"/>
      <c r="G53" s="140"/>
      <c r="H53" s="141"/>
      <c r="I53" s="139"/>
      <c r="J53" s="140"/>
      <c r="K53" s="141"/>
      <c r="L53" s="136"/>
      <c r="M53" s="137"/>
      <c r="N53" s="137"/>
      <c r="O53" s="137"/>
      <c r="P53" s="137"/>
      <c r="Q53" s="137"/>
      <c r="R53" s="138"/>
      <c r="S53" s="139"/>
      <c r="T53" s="140"/>
      <c r="U53" s="141"/>
      <c r="V53" s="136"/>
      <c r="W53" s="137"/>
      <c r="X53" s="137"/>
      <c r="Y53" s="138"/>
      <c r="Z53" s="136"/>
      <c r="AA53" s="137"/>
      <c r="AB53" s="137"/>
      <c r="AC53" s="137"/>
      <c r="AD53" s="138"/>
      <c r="AE53" s="139"/>
      <c r="AF53" s="140"/>
      <c r="AG53" s="140"/>
      <c r="AH53" s="140"/>
      <c r="AI53" s="141"/>
    </row>
    <row r="54" spans="1:35" ht="14.4" x14ac:dyDescent="0.3">
      <c r="A54" s="139"/>
      <c r="B54" s="140"/>
      <c r="C54" s="140"/>
      <c r="D54" s="141"/>
      <c r="E54" s="139"/>
      <c r="F54" s="140"/>
      <c r="G54" s="140"/>
      <c r="H54" s="141"/>
      <c r="I54" s="139"/>
      <c r="J54" s="140"/>
      <c r="K54" s="141"/>
      <c r="L54" s="136"/>
      <c r="M54" s="137"/>
      <c r="N54" s="137"/>
      <c r="O54" s="137"/>
      <c r="P54" s="137"/>
      <c r="Q54" s="137"/>
      <c r="R54" s="138"/>
      <c r="S54" s="139"/>
      <c r="T54" s="140"/>
      <c r="U54" s="141"/>
      <c r="V54" s="136"/>
      <c r="W54" s="137"/>
      <c r="X54" s="137"/>
      <c r="Y54" s="138"/>
      <c r="Z54" s="136"/>
      <c r="AA54" s="137"/>
      <c r="AB54" s="137"/>
      <c r="AC54" s="137"/>
      <c r="AD54" s="138"/>
      <c r="AE54" s="139"/>
      <c r="AF54" s="140"/>
      <c r="AG54" s="140"/>
      <c r="AH54" s="140"/>
      <c r="AI54" s="141"/>
    </row>
    <row r="55" spans="1:35" ht="14.4" x14ac:dyDescent="0.3">
      <c r="A55" s="139"/>
      <c r="B55" s="140"/>
      <c r="C55" s="140"/>
      <c r="D55" s="141"/>
      <c r="E55" s="139"/>
      <c r="F55" s="140"/>
      <c r="G55" s="140"/>
      <c r="H55" s="141"/>
      <c r="I55" s="139"/>
      <c r="J55" s="140"/>
      <c r="K55" s="141"/>
      <c r="L55" s="136"/>
      <c r="M55" s="137"/>
      <c r="N55" s="137"/>
      <c r="O55" s="137"/>
      <c r="P55" s="137"/>
      <c r="Q55" s="137"/>
      <c r="R55" s="138"/>
      <c r="S55" s="139"/>
      <c r="T55" s="140"/>
      <c r="U55" s="141"/>
      <c r="V55" s="136"/>
      <c r="W55" s="137"/>
      <c r="X55" s="137"/>
      <c r="Y55" s="138"/>
      <c r="Z55" s="136"/>
      <c r="AA55" s="137"/>
      <c r="AB55" s="137"/>
      <c r="AC55" s="137"/>
      <c r="AD55" s="138"/>
      <c r="AE55" s="139"/>
      <c r="AF55" s="140"/>
      <c r="AG55" s="140"/>
      <c r="AH55" s="140"/>
      <c r="AI55" s="141"/>
    </row>
    <row r="56" spans="1:35" ht="14.4" x14ac:dyDescent="0.3">
      <c r="A56" s="139"/>
      <c r="B56" s="140"/>
      <c r="C56" s="140"/>
      <c r="D56" s="141"/>
      <c r="E56" s="139"/>
      <c r="F56" s="140"/>
      <c r="G56" s="140"/>
      <c r="H56" s="141"/>
      <c r="I56" s="139"/>
      <c r="J56" s="140"/>
      <c r="K56" s="141"/>
      <c r="L56" s="136"/>
      <c r="M56" s="137"/>
      <c r="N56" s="137"/>
      <c r="O56" s="137"/>
      <c r="P56" s="137"/>
      <c r="Q56" s="137"/>
      <c r="R56" s="138"/>
      <c r="S56" s="139"/>
      <c r="T56" s="140"/>
      <c r="U56" s="141"/>
      <c r="V56" s="136"/>
      <c r="W56" s="137"/>
      <c r="X56" s="137"/>
      <c r="Y56" s="138"/>
      <c r="Z56" s="136"/>
      <c r="AA56" s="137"/>
      <c r="AB56" s="137"/>
      <c r="AC56" s="137"/>
      <c r="AD56" s="138"/>
      <c r="AE56" s="139"/>
      <c r="AF56" s="140"/>
      <c r="AG56" s="140"/>
      <c r="AH56" s="140"/>
      <c r="AI56" s="141"/>
    </row>
    <row r="57" spans="1:35" ht="14.4" x14ac:dyDescent="0.3">
      <c r="A57" s="139"/>
      <c r="B57" s="140"/>
      <c r="C57" s="140"/>
      <c r="D57" s="141"/>
      <c r="E57" s="139"/>
      <c r="F57" s="140"/>
      <c r="G57" s="140"/>
      <c r="H57" s="141"/>
      <c r="I57" s="139"/>
      <c r="J57" s="140"/>
      <c r="K57" s="141"/>
      <c r="L57" s="136"/>
      <c r="M57" s="137"/>
      <c r="N57" s="137"/>
      <c r="O57" s="137"/>
      <c r="P57" s="137"/>
      <c r="Q57" s="137"/>
      <c r="R57" s="138"/>
      <c r="S57" s="139"/>
      <c r="T57" s="140"/>
      <c r="U57" s="141"/>
      <c r="V57" s="136"/>
      <c r="W57" s="137"/>
      <c r="X57" s="137"/>
      <c r="Y57" s="138"/>
      <c r="Z57" s="136"/>
      <c r="AA57" s="137"/>
      <c r="AB57" s="137"/>
      <c r="AC57" s="137"/>
      <c r="AD57" s="138"/>
      <c r="AE57" s="139"/>
      <c r="AF57" s="140"/>
      <c r="AG57" s="140"/>
      <c r="AH57" s="140"/>
      <c r="AI57" s="141"/>
    </row>
    <row r="58" spans="1:35" ht="14.4" x14ac:dyDescent="0.3">
      <c r="A58" s="139"/>
      <c r="B58" s="140"/>
      <c r="C58" s="140"/>
      <c r="D58" s="141"/>
      <c r="E58" s="139"/>
      <c r="F58" s="140"/>
      <c r="G58" s="140"/>
      <c r="H58" s="141"/>
      <c r="I58" s="139"/>
      <c r="J58" s="140"/>
      <c r="K58" s="141"/>
      <c r="L58" s="136"/>
      <c r="M58" s="137"/>
      <c r="N58" s="137"/>
      <c r="O58" s="137"/>
      <c r="P58" s="137"/>
      <c r="Q58" s="137"/>
      <c r="R58" s="138"/>
      <c r="S58" s="139"/>
      <c r="T58" s="140"/>
      <c r="U58" s="141"/>
      <c r="V58" s="136"/>
      <c r="W58" s="137"/>
      <c r="X58" s="137"/>
      <c r="Y58" s="138"/>
      <c r="Z58" s="136"/>
      <c r="AA58" s="137"/>
      <c r="AB58" s="137"/>
      <c r="AC58" s="137"/>
      <c r="AD58" s="138"/>
      <c r="AE58" s="139"/>
      <c r="AF58" s="140"/>
      <c r="AG58" s="140"/>
      <c r="AH58" s="140"/>
      <c r="AI58" s="141"/>
    </row>
    <row r="59" spans="1:35" ht="14.4" x14ac:dyDescent="0.3">
      <c r="A59" s="139"/>
      <c r="B59" s="140"/>
      <c r="C59" s="140"/>
      <c r="D59" s="141"/>
      <c r="E59" s="139"/>
      <c r="F59" s="140"/>
      <c r="G59" s="140"/>
      <c r="H59" s="141"/>
      <c r="I59" s="139"/>
      <c r="J59" s="140"/>
      <c r="K59" s="141"/>
      <c r="L59" s="136"/>
      <c r="M59" s="137"/>
      <c r="N59" s="137"/>
      <c r="O59" s="137"/>
      <c r="P59" s="137"/>
      <c r="Q59" s="137"/>
      <c r="R59" s="138"/>
      <c r="S59" s="139"/>
      <c r="T59" s="140"/>
      <c r="U59" s="141"/>
      <c r="V59" s="136"/>
      <c r="W59" s="137"/>
      <c r="X59" s="137"/>
      <c r="Y59" s="138"/>
      <c r="Z59" s="136"/>
      <c r="AA59" s="137"/>
      <c r="AB59" s="137"/>
      <c r="AC59" s="137"/>
      <c r="AD59" s="138"/>
      <c r="AE59" s="139"/>
      <c r="AF59" s="140"/>
      <c r="AG59" s="140"/>
      <c r="AH59" s="140"/>
      <c r="AI59" s="141"/>
    </row>
    <row r="61" spans="1:35" ht="14.4" x14ac:dyDescent="0.3">
      <c r="A61" s="61" t="s">
        <v>96</v>
      </c>
      <c r="I61" s="142"/>
      <c r="J61" s="143"/>
      <c r="K61" s="143"/>
      <c r="M61" s="5" t="s">
        <v>97</v>
      </c>
      <c r="Q61" s="144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</row>
    <row r="62" spans="1:35" ht="14.4" x14ac:dyDescent="0.3">
      <c r="Q62" s="128" t="s">
        <v>98</v>
      </c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</row>
    <row r="64" spans="1:35" ht="14.4" x14ac:dyDescent="0.3">
      <c r="B64" s="130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</row>
    <row r="65" spans="1:34" ht="14.4" x14ac:dyDescent="0.3">
      <c r="B65" s="132" t="s">
        <v>99</v>
      </c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</row>
    <row r="67" spans="1:34" ht="14.4" x14ac:dyDescent="0.3">
      <c r="A67" s="61" t="s">
        <v>100</v>
      </c>
      <c r="G67" s="134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S67" s="5" t="s">
        <v>101</v>
      </c>
      <c r="W67" s="134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</row>
    <row r="68" spans="1:34" ht="14.4" x14ac:dyDescent="0.3">
      <c r="G68" s="128" t="s">
        <v>102</v>
      </c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W68" s="128" t="s">
        <v>102</v>
      </c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</row>
  </sheetData>
  <mergeCells count="113">
    <mergeCell ref="D7:AF7"/>
    <mergeCell ref="E8:AE8"/>
    <mergeCell ref="T10:V10"/>
    <mergeCell ref="M12:AB12"/>
    <mergeCell ref="D25:P25"/>
    <mergeCell ref="S27:U29"/>
    <mergeCell ref="L27:R29"/>
    <mergeCell ref="I27:K29"/>
    <mergeCell ref="A29:D29"/>
    <mergeCell ref="E29:H29"/>
    <mergeCell ref="A27:H28"/>
    <mergeCell ref="M13:AB13"/>
    <mergeCell ref="N15:V15"/>
    <mergeCell ref="V27:AD28"/>
    <mergeCell ref="V29:Y29"/>
    <mergeCell ref="Z29:AD29"/>
    <mergeCell ref="AD17:AH18"/>
    <mergeCell ref="AD20:AH21"/>
    <mergeCell ref="AD23:AH24"/>
    <mergeCell ref="X17:AC18"/>
    <mergeCell ref="X20:AC21"/>
    <mergeCell ref="X23:AC24"/>
    <mergeCell ref="D24:P24"/>
    <mergeCell ref="AE27:AI29"/>
    <mergeCell ref="A30:D30"/>
    <mergeCell ref="E30:H30"/>
    <mergeCell ref="I30:K30"/>
    <mergeCell ref="L30:R30"/>
    <mergeCell ref="S30:U30"/>
    <mergeCell ref="V30:Y30"/>
    <mergeCell ref="Z30:AD30"/>
    <mergeCell ref="AE30:AI30"/>
    <mergeCell ref="V31:Y31"/>
    <mergeCell ref="Z31:AD31"/>
    <mergeCell ref="AE31:AI31"/>
    <mergeCell ref="A52:D52"/>
    <mergeCell ref="E52:H52"/>
    <mergeCell ref="I52:K52"/>
    <mergeCell ref="L52:R52"/>
    <mergeCell ref="S52:U52"/>
    <mergeCell ref="V52:Y52"/>
    <mergeCell ref="Z52:AD52"/>
    <mergeCell ref="AE52:AI52"/>
    <mergeCell ref="A31:D31"/>
    <mergeCell ref="E31:H31"/>
    <mergeCell ref="I31:K31"/>
    <mergeCell ref="L31:R31"/>
    <mergeCell ref="S31:U31"/>
    <mergeCell ref="V53:Y53"/>
    <mergeCell ref="Z53:AD53"/>
    <mergeCell ref="AE53:AI53"/>
    <mergeCell ref="A54:D54"/>
    <mergeCell ref="E54:H54"/>
    <mergeCell ref="I54:K54"/>
    <mergeCell ref="L54:R54"/>
    <mergeCell ref="S54:U54"/>
    <mergeCell ref="V54:Y54"/>
    <mergeCell ref="Z54:AD54"/>
    <mergeCell ref="AE54:AI54"/>
    <mergeCell ref="A53:D53"/>
    <mergeCell ref="E53:H53"/>
    <mergeCell ref="I53:K53"/>
    <mergeCell ref="L53:R53"/>
    <mergeCell ref="S53:U53"/>
    <mergeCell ref="V55:Y55"/>
    <mergeCell ref="Z55:AD55"/>
    <mergeCell ref="AE55:AI55"/>
    <mergeCell ref="A56:D56"/>
    <mergeCell ref="E56:H56"/>
    <mergeCell ref="I56:K56"/>
    <mergeCell ref="L56:R56"/>
    <mergeCell ref="S56:U56"/>
    <mergeCell ref="V56:Y56"/>
    <mergeCell ref="Z56:AD56"/>
    <mergeCell ref="AE56:AI56"/>
    <mergeCell ref="A55:D55"/>
    <mergeCell ref="E55:H55"/>
    <mergeCell ref="I55:K55"/>
    <mergeCell ref="L55:R55"/>
    <mergeCell ref="S55:U55"/>
    <mergeCell ref="V57:Y57"/>
    <mergeCell ref="Z57:AD57"/>
    <mergeCell ref="AE57:AI57"/>
    <mergeCell ref="A58:D58"/>
    <mergeCell ref="E58:H58"/>
    <mergeCell ref="I58:K58"/>
    <mergeCell ref="L58:R58"/>
    <mergeCell ref="S58:U58"/>
    <mergeCell ref="V58:Y58"/>
    <mergeCell ref="Z58:AD58"/>
    <mergeCell ref="AE58:AI58"/>
    <mergeCell ref="A57:D57"/>
    <mergeCell ref="E57:H57"/>
    <mergeCell ref="I57:K57"/>
    <mergeCell ref="L57:R57"/>
    <mergeCell ref="S57:U57"/>
    <mergeCell ref="G68:Q68"/>
    <mergeCell ref="W68:AH68"/>
    <mergeCell ref="Q62:AH62"/>
    <mergeCell ref="B64:AH64"/>
    <mergeCell ref="B65:AH65"/>
    <mergeCell ref="G67:Q67"/>
    <mergeCell ref="W67:AH67"/>
    <mergeCell ref="V59:Y59"/>
    <mergeCell ref="Z59:AD59"/>
    <mergeCell ref="AE59:AI59"/>
    <mergeCell ref="I61:K61"/>
    <mergeCell ref="Q61:AH61"/>
    <mergeCell ref="A59:D59"/>
    <mergeCell ref="E59:H59"/>
    <mergeCell ref="I59:K59"/>
    <mergeCell ref="L59:R59"/>
    <mergeCell ref="S59:U59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3</vt:i4>
      </vt:variant>
    </vt:vector>
  </HeadingPairs>
  <TitlesOfParts>
    <vt:vector size="13" baseType="lpstr">
      <vt:lpstr>Главная</vt:lpstr>
      <vt:lpstr>ГСМ</vt:lpstr>
      <vt:lpstr>Автомобили</vt:lpstr>
      <vt:lpstr>Сотрудники</vt:lpstr>
      <vt:lpstr>Приход</vt:lpstr>
      <vt:lpstr>Расход</vt:lpstr>
      <vt:lpstr>Оборотка-Склад</vt:lpstr>
      <vt:lpstr>Ведомость_реестр</vt:lpstr>
      <vt:lpstr>Ведомость_печать_образец</vt:lpstr>
      <vt:lpstr>Ведомость_выдача</vt:lpstr>
      <vt:lpstr>Ведомость_печать_образец!Заголовки_для_печати</vt:lpstr>
      <vt:lpstr>Ведомость_выдача!Область_печати</vt:lpstr>
      <vt:lpstr>Ведомость_печать_образец!Область_печати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2025-04-10T08:00:57Z</dcterms:modified>
</cp:coreProperties>
</file>